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953e176b1df669c/Desktop/Fund/Yellow Tree Fund/articles/Fair Isaac/"/>
    </mc:Choice>
  </mc:AlternateContent>
  <xr:revisionPtr revIDLastSave="838" documentId="13_ncr:1_{47A70A0D-D16A-AF4F-9A15-A1A0440527BC}" xr6:coauthVersionLast="47" xr6:coauthVersionMax="47" xr10:uidLastSave="{C04AF3BB-29E8-4FE4-8C42-D57B836593B0}"/>
  <bookViews>
    <workbookView xWindow="28680" yWindow="-120" windowWidth="29040" windowHeight="15840" tabRatio="780" firstSheet="5" activeTab="5" xr2:uid="{00000000-000D-0000-FFFF-FFFF00000000}"/>
  </bookViews>
  <sheets>
    <sheet name="Historical Percentages " sheetId="1" state="hidden" r:id="rId1"/>
    <sheet name="Target Price Calculation (2)" sheetId="42" state="hidden" r:id="rId2"/>
    <sheet name="Target Price Calculation" sheetId="40" state="hidden" r:id="rId3"/>
    <sheet name="Historicals" sheetId="36" r:id="rId4"/>
    <sheet name="Revenue Build-out" sheetId="44" r:id="rId5"/>
    <sheet name="EBITDA Multiple Model - Base" sheetId="43" r:id="rId6"/>
    <sheet name="Chart" sheetId="45" r:id="rId7"/>
    <sheet name="EBIT Multiple Model " sheetId="41" state="hidden" r:id="rId8"/>
    <sheet name="Comps Data" sheetId="31" state="hidden" r:id="rId9"/>
    <sheet name="Sort Summary" sheetId="32" state="hidden" r:id="rId10"/>
    <sheet name="Multiples Valuations" sheetId="33" state="hidden" r:id="rId11"/>
  </sheets>
  <externalReferences>
    <externalReference r:id="rId12"/>
  </externalReferences>
  <definedNames>
    <definedName name="_xlnm._FilterDatabase" localSheetId="9" hidden="1">'Sort Summary'!$C$13:$H$14</definedName>
    <definedName name="ColorCounter">"="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44" l="1"/>
  <c r="L5" i="43"/>
  <c r="F38" i="43"/>
  <c r="G38" i="43" s="1"/>
  <c r="H38" i="43" s="1"/>
  <c r="I38" i="43" s="1"/>
  <c r="E38" i="43"/>
  <c r="L22" i="43"/>
  <c r="L20" i="43"/>
  <c r="Q7" i="44"/>
  <c r="G27" i="44"/>
  <c r="F27" i="44"/>
  <c r="E27" i="44"/>
  <c r="D27" i="44"/>
  <c r="C27" i="44"/>
  <c r="G26" i="44"/>
  <c r="F26" i="44"/>
  <c r="E26" i="44"/>
  <c r="D26" i="44"/>
  <c r="C26" i="44"/>
  <c r="G24" i="44"/>
  <c r="F24" i="44"/>
  <c r="E24" i="44"/>
  <c r="D24" i="44"/>
  <c r="C24" i="44"/>
  <c r="E13" i="36" a="1"/>
  <c r="E13" i="36" s="1"/>
  <c r="G23" i="44"/>
  <c r="F23" i="44"/>
  <c r="E23" i="44"/>
  <c r="D23" i="44"/>
  <c r="C23" i="44"/>
  <c r="C28" i="43"/>
  <c r="C31" i="43"/>
  <c r="C18" i="43"/>
  <c r="C12" i="43"/>
  <c r="H31" i="44"/>
  <c r="I31" i="44" s="1"/>
  <c r="J31" i="44" s="1"/>
  <c r="K31" i="44" s="1"/>
  <c r="L31" i="44" s="1"/>
  <c r="M31" i="44" s="1"/>
  <c r="G32" i="44"/>
  <c r="F32" i="44"/>
  <c r="E32" i="44"/>
  <c r="D32" i="44"/>
  <c r="H20" i="44"/>
  <c r="G21" i="44"/>
  <c r="F21" i="44"/>
  <c r="E21" i="44"/>
  <c r="D21" i="44"/>
  <c r="H14" i="44"/>
  <c r="I14" i="44" s="1"/>
  <c r="J14" i="44" s="1"/>
  <c r="K14" i="44" s="1"/>
  <c r="L14" i="44" s="1"/>
  <c r="M14" i="44" s="1"/>
  <c r="G15" i="44"/>
  <c r="F15" i="44"/>
  <c r="E15" i="44"/>
  <c r="D15" i="44"/>
  <c r="K8" i="44"/>
  <c r="L8" i="44" s="1"/>
  <c r="M8" i="44" s="1"/>
  <c r="G10" i="44"/>
  <c r="F10" i="44"/>
  <c r="E10" i="44"/>
  <c r="D10" i="44"/>
  <c r="C10" i="44"/>
  <c r="C17" i="44" s="1"/>
  <c r="C29" i="44" s="1"/>
  <c r="C35" i="44" s="1"/>
  <c r="C41" i="44" s="1"/>
  <c r="C57" i="44" s="1"/>
  <c r="H7" i="44"/>
  <c r="I7" i="44" s="1"/>
  <c r="G8" i="44"/>
  <c r="F8" i="44"/>
  <c r="E8" i="44"/>
  <c r="D8" i="44"/>
  <c r="H4" i="44"/>
  <c r="G5" i="44"/>
  <c r="F5" i="44"/>
  <c r="E5" i="44"/>
  <c r="D5" i="44"/>
  <c r="I20" i="44" l="1"/>
  <c r="J20" i="44" s="1"/>
  <c r="K20" i="44" s="1"/>
  <c r="L20" i="44" s="1"/>
  <c r="M20" i="44" s="1"/>
  <c r="F11" i="44"/>
  <c r="E11" i="44"/>
  <c r="G11" i="44"/>
  <c r="C45" i="44"/>
  <c r="C55" i="44"/>
  <c r="E17" i="44"/>
  <c r="E29" i="44" s="1"/>
  <c r="E35" i="44" s="1"/>
  <c r="E39" i="44" s="1"/>
  <c r="C6" i="43"/>
  <c r="D11" i="44"/>
  <c r="F17" i="44"/>
  <c r="F29" i="44" s="1"/>
  <c r="F35" i="44" s="1"/>
  <c r="G17" i="44"/>
  <c r="G29" i="44" s="1"/>
  <c r="G35" i="44" s="1"/>
  <c r="D17" i="44"/>
  <c r="D29" i="44" s="1"/>
  <c r="D35" i="44" s="1"/>
  <c r="J7" i="44"/>
  <c r="K7" i="44" s="1"/>
  <c r="L7" i="44" s="1"/>
  <c r="M7" i="44" s="1"/>
  <c r="I4" i="44"/>
  <c r="J4" i="44" s="1"/>
  <c r="K4" i="44" s="1"/>
  <c r="L4" i="44" s="1"/>
  <c r="M4" i="44" s="1"/>
  <c r="H10" i="44"/>
  <c r="H23" i="44" s="1"/>
  <c r="C30" i="36"/>
  <c r="C9" i="43"/>
  <c r="E41" i="44" l="1"/>
  <c r="E57" i="44" s="1"/>
  <c r="M10" i="44"/>
  <c r="H11" i="44"/>
  <c r="D6" i="43"/>
  <c r="D7" i="43" s="1"/>
  <c r="D39" i="44"/>
  <c r="D36" i="44"/>
  <c r="D41" i="44"/>
  <c r="G39" i="44"/>
  <c r="G36" i="44"/>
  <c r="G41" i="44"/>
  <c r="E36" i="44"/>
  <c r="H17" i="44"/>
  <c r="H29" i="44" s="1"/>
  <c r="F39" i="44"/>
  <c r="F41" i="44"/>
  <c r="F36" i="44"/>
  <c r="L10" i="44"/>
  <c r="L23" i="44" s="1"/>
  <c r="J10" i="44"/>
  <c r="J23" i="44" s="1"/>
  <c r="K10" i="44"/>
  <c r="K23" i="44" s="1"/>
  <c r="I10" i="44"/>
  <c r="I19" i="36"/>
  <c r="H19" i="36"/>
  <c r="G19" i="36"/>
  <c r="F19" i="36"/>
  <c r="E19" i="36"/>
  <c r="D19" i="36"/>
  <c r="C19" i="36"/>
  <c r="I7" i="36"/>
  <c r="I30" i="36"/>
  <c r="I27" i="36"/>
  <c r="I24" i="36"/>
  <c r="I23" i="36"/>
  <c r="I16" i="36"/>
  <c r="I13" i="36" a="1"/>
  <c r="I13" i="36" s="1"/>
  <c r="I10" i="36"/>
  <c r="C10" i="43" s="1"/>
  <c r="M23" i="44" l="1"/>
  <c r="H26" i="44"/>
  <c r="H27" i="44" s="1"/>
  <c r="E6" i="43"/>
  <c r="E7" i="43" s="1"/>
  <c r="I23" i="44"/>
  <c r="E55" i="44"/>
  <c r="E45" i="44"/>
  <c r="H35" i="44"/>
  <c r="H36" i="44" s="1"/>
  <c r="D15" i="43"/>
  <c r="D57" i="44"/>
  <c r="D45" i="44"/>
  <c r="D55" i="44"/>
  <c r="G45" i="44"/>
  <c r="G55" i="44"/>
  <c r="G57" i="44"/>
  <c r="M17" i="44"/>
  <c r="M29" i="44" s="1"/>
  <c r="M11" i="44"/>
  <c r="I6" i="43"/>
  <c r="K17" i="44"/>
  <c r="K29" i="44" s="1"/>
  <c r="G6" i="43"/>
  <c r="J17" i="44"/>
  <c r="F6" i="43"/>
  <c r="L17" i="44"/>
  <c r="H6" i="43"/>
  <c r="F57" i="44"/>
  <c r="F45" i="44"/>
  <c r="F55" i="44"/>
  <c r="I11" i="44"/>
  <c r="I17" i="44"/>
  <c r="J11" i="44"/>
  <c r="K11" i="44"/>
  <c r="L11" i="44"/>
  <c r="I21" i="36"/>
  <c r="J29" i="33"/>
  <c r="K29" i="33"/>
  <c r="L29" i="33"/>
  <c r="J30" i="33"/>
  <c r="L30" i="33" s="1"/>
  <c r="K30" i="33"/>
  <c r="J31" i="33"/>
  <c r="K31" i="33"/>
  <c r="L31" i="33"/>
  <c r="F37" i="33"/>
  <c r="F38" i="33" s="1"/>
  <c r="F42" i="33" s="1"/>
  <c r="F44" i="33" s="1"/>
  <c r="H38" i="44" l="1"/>
  <c r="H41" i="44" s="1"/>
  <c r="H54" i="44" s="1"/>
  <c r="H57" i="44" s="1"/>
  <c r="I7" i="43"/>
  <c r="H7" i="43"/>
  <c r="F7" i="43"/>
  <c r="L29" i="44"/>
  <c r="H15" i="43" s="1"/>
  <c r="L26" i="44"/>
  <c r="L27" i="44" s="1"/>
  <c r="J29" i="44"/>
  <c r="J35" i="44" s="1"/>
  <c r="J38" i="44" s="1"/>
  <c r="J41" i="44" s="1"/>
  <c r="J26" i="44"/>
  <c r="J27" i="44" s="1"/>
  <c r="M26" i="44"/>
  <c r="I29" i="44"/>
  <c r="E15" i="43" s="1"/>
  <c r="I26" i="44"/>
  <c r="I27" i="44" s="1"/>
  <c r="G7" i="43"/>
  <c r="K26" i="44"/>
  <c r="K27" i="44" s="1"/>
  <c r="K35" i="44"/>
  <c r="G15" i="43"/>
  <c r="M35" i="44"/>
  <c r="I15" i="43"/>
  <c r="I42" i="43"/>
  <c r="H42" i="43"/>
  <c r="G42" i="43"/>
  <c r="F42" i="43"/>
  <c r="E42" i="43"/>
  <c r="D42" i="43"/>
  <c r="C42" i="43"/>
  <c r="D40" i="43"/>
  <c r="E40" i="43" s="1"/>
  <c r="F40" i="43" s="1"/>
  <c r="G40" i="43" s="1"/>
  <c r="H40" i="43" s="1"/>
  <c r="I40" i="43" s="1"/>
  <c r="L9" i="43" s="1"/>
  <c r="P29" i="43"/>
  <c r="Q29" i="43" s="1"/>
  <c r="N29" i="43"/>
  <c r="M29" i="43" s="1"/>
  <c r="C25" i="43"/>
  <c r="H45" i="44" l="1"/>
  <c r="M27" i="44"/>
  <c r="N26" i="44"/>
  <c r="F15" i="43"/>
  <c r="I35" i="44"/>
  <c r="I38" i="44" s="1"/>
  <c r="I41" i="44" s="1"/>
  <c r="L35" i="44"/>
  <c r="L38" i="44" s="1"/>
  <c r="L41" i="44" s="1"/>
  <c r="M38" i="44"/>
  <c r="M41" i="44" s="1"/>
  <c r="M45" i="44" s="1"/>
  <c r="K38" i="44"/>
  <c r="K41" i="44" s="1"/>
  <c r="K36" i="44"/>
  <c r="I36" i="44"/>
  <c r="J45" i="44"/>
  <c r="J54" i="44"/>
  <c r="J57" i="44" s="1"/>
  <c r="E28" i="43"/>
  <c r="C15" i="43"/>
  <c r="C16" i="43" s="1"/>
  <c r="C13" i="43"/>
  <c r="C26" i="43" s="1"/>
  <c r="C29" i="43"/>
  <c r="C32" i="43"/>
  <c r="J36" i="44" l="1"/>
  <c r="L36" i="44"/>
  <c r="M36" i="44"/>
  <c r="I45" i="44"/>
  <c r="I54" i="44"/>
  <c r="I57" i="44" s="1"/>
  <c r="K45" i="44"/>
  <c r="K54" i="44"/>
  <c r="K57" i="44" s="1"/>
  <c r="L45" i="44"/>
  <c r="L54" i="44"/>
  <c r="L57" i="44" s="1"/>
  <c r="E12" i="43"/>
  <c r="E31" i="43"/>
  <c r="D12" i="43"/>
  <c r="F28" i="43"/>
  <c r="D28" i="43"/>
  <c r="D31" i="43"/>
  <c r="C23" i="43"/>
  <c r="C34" i="43" s="1"/>
  <c r="C44" i="43" s="1"/>
  <c r="C19" i="43"/>
  <c r="D25" i="43" l="1"/>
  <c r="D26" i="43" s="1"/>
  <c r="D9" i="43"/>
  <c r="D10" i="43" s="1"/>
  <c r="E25" i="43"/>
  <c r="E26" i="43" s="1"/>
  <c r="E9" i="43"/>
  <c r="E10" i="43" s="1"/>
  <c r="E18" i="43"/>
  <c r="E23" i="43" s="1"/>
  <c r="F12" i="43"/>
  <c r="G31" i="43"/>
  <c r="F31" i="43"/>
  <c r="E34" i="43" l="1"/>
  <c r="E44" i="43" s="1"/>
  <c r="F25" i="43"/>
  <c r="F26" i="43" s="1"/>
  <c r="F9" i="43"/>
  <c r="F10" i="43" s="1"/>
  <c r="E16" i="43"/>
  <c r="F16" i="43"/>
  <c r="G28" i="43"/>
  <c r="H28" i="43"/>
  <c r="G12" i="43"/>
  <c r="D16" i="43"/>
  <c r="D18" i="43"/>
  <c r="D23" i="43" s="1"/>
  <c r="D34" i="43" s="1"/>
  <c r="D44" i="43" s="1"/>
  <c r="G25" i="43" l="1"/>
  <c r="G26" i="43" s="1"/>
  <c r="G9" i="43"/>
  <c r="G10" i="43" s="1"/>
  <c r="G18" i="43"/>
  <c r="G23" i="43" s="1"/>
  <c r="H12" i="43"/>
  <c r="H31" i="43"/>
  <c r="I31" i="43"/>
  <c r="F18" i="43"/>
  <c r="F23" i="43" s="1"/>
  <c r="F34" i="43" s="1"/>
  <c r="F44" i="43" s="1"/>
  <c r="G34" i="43" l="1"/>
  <c r="G44" i="43" s="1"/>
  <c r="H25" i="43"/>
  <c r="H26" i="43" s="1"/>
  <c r="H9" i="43"/>
  <c r="H10" i="43" s="1"/>
  <c r="I28" i="43"/>
  <c r="H18" i="43"/>
  <c r="H23" i="43" s="1"/>
  <c r="G16" i="43"/>
  <c r="I12" i="43"/>
  <c r="H34" i="43" l="1"/>
  <c r="H44" i="43" s="1"/>
  <c r="I25" i="43"/>
  <c r="I26" i="43" s="1"/>
  <c r="I9" i="43"/>
  <c r="I10" i="43" s="1"/>
  <c r="I16" i="43"/>
  <c r="H16" i="43"/>
  <c r="L6" i="43" l="1"/>
  <c r="L8" i="43" s="1"/>
  <c r="L13" i="43" s="1"/>
  <c r="I18" i="43"/>
  <c r="I23" i="43" s="1"/>
  <c r="I34" i="43" s="1"/>
  <c r="I44" i="43" s="1"/>
  <c r="L12" i="43" s="1"/>
  <c r="L16" i="43" l="1"/>
  <c r="L19" i="43" s="1"/>
  <c r="D27" i="42"/>
  <c r="D26" i="42"/>
  <c r="D25" i="42"/>
  <c r="D11" i="42"/>
  <c r="F11" i="42" s="1"/>
  <c r="D10" i="42"/>
  <c r="F10" i="42" s="1"/>
  <c r="H9" i="42"/>
  <c r="D6" i="42"/>
  <c r="C27" i="42" s="1"/>
  <c r="D5" i="42"/>
  <c r="C26" i="42" s="1"/>
  <c r="L23" i="43" l="1"/>
  <c r="L25" i="43" s="1"/>
  <c r="L29" i="43" s="1"/>
  <c r="L14" i="43"/>
  <c r="F6" i="42"/>
  <c r="F5" i="42"/>
  <c r="E36" i="40"/>
  <c r="D36" i="40"/>
  <c r="K32" i="40"/>
  <c r="J32" i="40"/>
  <c r="K31" i="40"/>
  <c r="J31" i="40"/>
  <c r="E24" i="40"/>
  <c r="D24" i="40"/>
  <c r="C24" i="40"/>
  <c r="D30" i="40"/>
  <c r="C30" i="40"/>
  <c r="J18" i="40"/>
  <c r="K18" i="40"/>
  <c r="I18" i="40"/>
  <c r="D18" i="40"/>
  <c r="E16" i="40"/>
  <c r="D16" i="40"/>
  <c r="C16" i="40"/>
  <c r="E18" i="40" l="1"/>
  <c r="C18" i="40"/>
  <c r="K6" i="33" l="1"/>
  <c r="I41" i="41" l="1"/>
  <c r="L8" i="41" s="1"/>
  <c r="H41" i="41"/>
  <c r="G41" i="41"/>
  <c r="F41" i="41"/>
  <c r="E41" i="41"/>
  <c r="D41" i="41"/>
  <c r="C41" i="41"/>
  <c r="D39" i="41"/>
  <c r="E39" i="41" s="1"/>
  <c r="F39" i="41" s="1"/>
  <c r="G39" i="41" s="1"/>
  <c r="H39" i="41" s="1"/>
  <c r="I39" i="41" s="1"/>
  <c r="C30" i="41"/>
  <c r="C27" i="41"/>
  <c r="C17" i="41"/>
  <c r="C11" i="41"/>
  <c r="C8" i="41"/>
  <c r="E6" i="41"/>
  <c r="F6" i="41" s="1"/>
  <c r="G6" i="41" s="1"/>
  <c r="H6" i="41" s="1"/>
  <c r="I6" i="41" s="1"/>
  <c r="C5" i="41"/>
  <c r="L4" i="41"/>
  <c r="C31" i="41" l="1"/>
  <c r="C28" i="41"/>
  <c r="C12" i="41"/>
  <c r="C25" i="41" s="1"/>
  <c r="C9" i="41"/>
  <c r="D9" i="41" s="1"/>
  <c r="E9" i="41" s="1"/>
  <c r="D5" i="41"/>
  <c r="C14" i="41"/>
  <c r="C24" i="41"/>
  <c r="D27" i="41" l="1"/>
  <c r="D30" i="41"/>
  <c r="D11" i="41"/>
  <c r="D24" i="41" s="1"/>
  <c r="E5" i="41"/>
  <c r="E8" i="41" s="1"/>
  <c r="D8" i="41"/>
  <c r="C22" i="41"/>
  <c r="C33" i="41" s="1"/>
  <c r="C43" i="41" s="1"/>
  <c r="C18" i="41"/>
  <c r="C15" i="41"/>
  <c r="F9" i="41"/>
  <c r="D14" i="41" l="1"/>
  <c r="D17" i="41" s="1"/>
  <c r="D22" i="41" s="1"/>
  <c r="D33" i="41" s="1"/>
  <c r="D43" i="41" s="1"/>
  <c r="G9" i="41"/>
  <c r="E30" i="41"/>
  <c r="F5" i="41"/>
  <c r="E27" i="41"/>
  <c r="E11" i="41"/>
  <c r="E24" i="41" s="1"/>
  <c r="D15" i="41" l="1"/>
  <c r="F11" i="41"/>
  <c r="F24" i="41" s="1"/>
  <c r="F30" i="41"/>
  <c r="G5" i="41"/>
  <c r="G8" i="41" s="1"/>
  <c r="F27" i="41"/>
  <c r="F8" i="41"/>
  <c r="H9" i="41"/>
  <c r="E14" i="41"/>
  <c r="F14" i="41" l="1"/>
  <c r="F17" i="41" s="1"/>
  <c r="F22" i="41" s="1"/>
  <c r="F33" i="41" s="1"/>
  <c r="F43" i="41" s="1"/>
  <c r="I9" i="41"/>
  <c r="E15" i="41"/>
  <c r="E17" i="41"/>
  <c r="E22" i="41" s="1"/>
  <c r="E33" i="41" s="1"/>
  <c r="E43" i="41" s="1"/>
  <c r="G27" i="41"/>
  <c r="H5" i="41"/>
  <c r="G11" i="41"/>
  <c r="G24" i="41" s="1"/>
  <c r="G30" i="41"/>
  <c r="G14" i="41" l="1"/>
  <c r="F15" i="41"/>
  <c r="G17" i="41"/>
  <c r="G22" i="41" s="1"/>
  <c r="G33" i="41" s="1"/>
  <c r="G43" i="41" s="1"/>
  <c r="G15" i="41"/>
  <c r="H27" i="41"/>
  <c r="H30" i="41"/>
  <c r="H11" i="41"/>
  <c r="H24" i="41" s="1"/>
  <c r="I5" i="41"/>
  <c r="I8" i="41" s="1"/>
  <c r="H8" i="41"/>
  <c r="H14" i="41" s="1"/>
  <c r="H17" i="41" l="1"/>
  <c r="H22" i="41" s="1"/>
  <c r="H33" i="41" s="1"/>
  <c r="H43" i="41" s="1"/>
  <c r="H15" i="41"/>
  <c r="I11" i="41"/>
  <c r="I24" i="41" s="1"/>
  <c r="I30" i="41"/>
  <c r="I27" i="41"/>
  <c r="I14" i="41" l="1"/>
  <c r="L5" i="41" s="1"/>
  <c r="K8" i="33"/>
  <c r="J8" i="33"/>
  <c r="C17" i="31"/>
  <c r="I15" i="41" l="1"/>
  <c r="I17" i="41"/>
  <c r="I22" i="41" s="1"/>
  <c r="I33" i="41" s="1"/>
  <c r="I43" i="41" s="1"/>
  <c r="L11" i="41" s="1"/>
  <c r="F6" i="32" l="1"/>
  <c r="P18" i="33"/>
  <c r="K18" i="33"/>
  <c r="K10" i="33"/>
  <c r="K7" i="33"/>
  <c r="P19" i="33"/>
  <c r="J10" i="33"/>
  <c r="J7" i="33"/>
  <c r="J6" i="33"/>
  <c r="O17" i="31"/>
  <c r="I17" i="31"/>
  <c r="F17" i="31"/>
  <c r="G7" i="36"/>
  <c r="F7" i="36"/>
  <c r="P20" i="33" l="1"/>
  <c r="L6" i="33"/>
  <c r="L6" i="41"/>
  <c r="L7" i="41" s="1"/>
  <c r="L12" i="41" s="1"/>
  <c r="L15" i="41" l="1"/>
  <c r="L18" i="41" s="1"/>
  <c r="L22" i="41" s="1"/>
  <c r="L24" i="41" s="1"/>
  <c r="C13" i="36"/>
  <c r="F23" i="36"/>
  <c r="C23" i="36"/>
  <c r="F30" i="36"/>
  <c r="F27" i="36"/>
  <c r="F10" i="36"/>
  <c r="F13" i="36" a="1"/>
  <c r="F13" i="36" s="1"/>
  <c r="F24" i="36"/>
  <c r="D7" i="36"/>
  <c r="H30" i="36"/>
  <c r="G30" i="36"/>
  <c r="E30" i="36"/>
  <c r="D30" i="36"/>
  <c r="H27" i="36"/>
  <c r="G27" i="36"/>
  <c r="E27" i="36"/>
  <c r="D27" i="36"/>
  <c r="C27" i="36"/>
  <c r="H24" i="36"/>
  <c r="G24" i="36"/>
  <c r="E24" i="36"/>
  <c r="D24" i="36"/>
  <c r="C24" i="36"/>
  <c r="H23" i="36"/>
  <c r="G23" i="36"/>
  <c r="E23" i="36"/>
  <c r="D23" i="36"/>
  <c r="H21" i="36"/>
  <c r="H13" i="36" a="1"/>
  <c r="H13" i="36" s="1"/>
  <c r="G13" i="36" a="1"/>
  <c r="G13" i="36" s="1"/>
  <c r="D13" i="36" a="1"/>
  <c r="D13" i="36" s="1"/>
  <c r="H10" i="36"/>
  <c r="G10" i="36"/>
  <c r="E10" i="36"/>
  <c r="D10" i="36"/>
  <c r="C10" i="36"/>
  <c r="H7" i="36"/>
  <c r="C7" i="43" s="1"/>
  <c r="E7" i="36"/>
  <c r="L28" i="41" l="1"/>
  <c r="D10" i="40"/>
  <c r="D16" i="36"/>
  <c r="G16" i="36"/>
  <c r="L13" i="41"/>
  <c r="C16" i="36"/>
  <c r="E16" i="36"/>
  <c r="C6" i="41"/>
  <c r="F21" i="36"/>
  <c r="F10" i="40"/>
  <c r="F16" i="36"/>
  <c r="C21" i="36"/>
  <c r="D21" i="36"/>
  <c r="E21" i="36"/>
  <c r="G21" i="36"/>
  <c r="H16" i="36"/>
  <c r="N11" i="32" l="1"/>
  <c r="M11" i="32"/>
  <c r="L11" i="32"/>
  <c r="I11" i="32"/>
  <c r="H11" i="32"/>
  <c r="I5" i="32"/>
  <c r="J5" i="32"/>
  <c r="K5" i="32"/>
  <c r="L5" i="32"/>
  <c r="M5" i="32"/>
  <c r="N5" i="32"/>
  <c r="I6" i="32"/>
  <c r="J6" i="32"/>
  <c r="K6" i="32"/>
  <c r="L6" i="32"/>
  <c r="M6" i="32"/>
  <c r="N6" i="32"/>
  <c r="I7" i="32"/>
  <c r="J7" i="32"/>
  <c r="K7" i="32"/>
  <c r="L7" i="32"/>
  <c r="M7" i="32"/>
  <c r="N7" i="32"/>
  <c r="I8" i="32"/>
  <c r="J8" i="32"/>
  <c r="K8" i="32"/>
  <c r="L8" i="32"/>
  <c r="M8" i="32"/>
  <c r="N8" i="32"/>
  <c r="I9" i="32"/>
  <c r="J9" i="32"/>
  <c r="K9" i="32"/>
  <c r="L9" i="32"/>
  <c r="M9" i="32"/>
  <c r="N9" i="32"/>
  <c r="N4" i="32"/>
  <c r="L4" i="32"/>
  <c r="M4" i="32"/>
  <c r="K4" i="32"/>
  <c r="J4" i="32"/>
  <c r="I4" i="32"/>
  <c r="H5" i="32"/>
  <c r="H6" i="32"/>
  <c r="H7" i="32"/>
  <c r="H8" i="32"/>
  <c r="H9" i="32"/>
  <c r="H4" i="32"/>
  <c r="H9" i="33"/>
  <c r="J9" i="33" l="1"/>
  <c r="K9" i="33"/>
  <c r="X30" i="31"/>
  <c r="L9" i="33" l="1"/>
  <c r="K19" i="33"/>
  <c r="K20" i="33" s="1"/>
  <c r="D5" i="40" s="1"/>
  <c r="F11" i="32"/>
  <c r="F9" i="32"/>
  <c r="F8" i="32"/>
  <c r="F7" i="32"/>
  <c r="F5" i="32"/>
  <c r="F4" i="32"/>
  <c r="N3" i="32"/>
  <c r="M3" i="32"/>
  <c r="L3" i="32"/>
  <c r="K3" i="32"/>
  <c r="J3" i="32"/>
  <c r="I3" i="32"/>
  <c r="H3" i="32"/>
  <c r="G3" i="32"/>
  <c r="F3" i="32"/>
  <c r="E3" i="32"/>
  <c r="D3" i="32"/>
  <c r="F5" i="40" l="1"/>
  <c r="L8" i="33"/>
  <c r="L10" i="33"/>
  <c r="L7" i="33"/>
  <c r="D6" i="40"/>
  <c r="C17" i="32"/>
  <c r="G14" i="32"/>
  <c r="C29" i="32"/>
  <c r="K14" i="32"/>
  <c r="J20" i="32"/>
  <c r="C26" i="32"/>
  <c r="F29" i="32"/>
  <c r="D20" i="32"/>
  <c r="H20" i="32"/>
  <c r="E26" i="32"/>
  <c r="I14" i="32"/>
  <c r="D29" i="32"/>
  <c r="G17" i="32"/>
  <c r="L14" i="32"/>
  <c r="D26" i="32"/>
  <c r="L26" i="32"/>
  <c r="F14" i="32"/>
  <c r="E20" i="32"/>
  <c r="G23" i="32"/>
  <c r="K17" i="32"/>
  <c r="D14" i="32"/>
  <c r="I20" i="32"/>
  <c r="E14" i="32"/>
  <c r="G20" i="32"/>
  <c r="F26" i="32"/>
  <c r="N17" i="32"/>
  <c r="F20" i="32"/>
  <c r="I23" i="32"/>
  <c r="M26" i="32"/>
  <c r="J29" i="32"/>
  <c r="F17" i="32"/>
  <c r="F23" i="32"/>
  <c r="N26" i="32"/>
  <c r="N29" i="32"/>
  <c r="I17" i="32"/>
  <c r="K23" i="32"/>
  <c r="H23" i="32"/>
  <c r="E29" i="32"/>
  <c r="D17" i="32"/>
  <c r="C23" i="32"/>
  <c r="M29" i="32"/>
  <c r="C14" i="32"/>
  <c r="L17" i="32"/>
  <c r="L20" i="32"/>
  <c r="L23" i="32"/>
  <c r="I26" i="32"/>
  <c r="I29" i="32"/>
  <c r="M23" i="32"/>
  <c r="F6" i="40" l="1"/>
  <c r="AJ30" i="31"/>
  <c r="AG30" i="31"/>
  <c r="AD30" i="31"/>
  <c r="AA30" i="31"/>
  <c r="U30" i="31"/>
  <c r="R30" i="31"/>
  <c r="L30" i="31"/>
  <c r="O30" i="31"/>
  <c r="G11" i="32" s="1"/>
  <c r="I30" i="31"/>
  <c r="E11" i="32" s="1"/>
  <c r="F30" i="31"/>
  <c r="D11" i="32" s="1"/>
  <c r="C30" i="31"/>
  <c r="C11" i="32" s="1"/>
  <c r="AJ28" i="31"/>
  <c r="AG28" i="31"/>
  <c r="AD28" i="31"/>
  <c r="AA28" i="31"/>
  <c r="X28" i="31"/>
  <c r="U28" i="31"/>
  <c r="R28" i="31"/>
  <c r="O28" i="31"/>
  <c r="G9" i="32" s="1"/>
  <c r="H29" i="32" s="1"/>
  <c r="L28" i="31"/>
  <c r="I28" i="31"/>
  <c r="E9" i="32" s="1"/>
  <c r="G29" i="32" s="1"/>
  <c r="F28" i="31"/>
  <c r="D9" i="32" s="1"/>
  <c r="K29" i="32" s="1"/>
  <c r="C28" i="31"/>
  <c r="C9" i="32" s="1"/>
  <c r="L29" i="32" s="1"/>
  <c r="AJ27" i="31"/>
  <c r="AG27" i="31"/>
  <c r="AD27" i="31"/>
  <c r="AA27" i="31"/>
  <c r="X27" i="31"/>
  <c r="U27" i="31"/>
  <c r="R27" i="31"/>
  <c r="O27" i="31"/>
  <c r="G8" i="32" s="1"/>
  <c r="H26" i="32" s="1"/>
  <c r="L27" i="31"/>
  <c r="I27" i="31"/>
  <c r="E8" i="32" s="1"/>
  <c r="G26" i="32" s="1"/>
  <c r="F27" i="31"/>
  <c r="D8" i="32" s="1"/>
  <c r="J26" i="32" s="1"/>
  <c r="C27" i="31"/>
  <c r="C8" i="32" s="1"/>
  <c r="K26" i="32" s="1"/>
  <c r="AJ26" i="31"/>
  <c r="AG26" i="31"/>
  <c r="AD26" i="31"/>
  <c r="AA26" i="31"/>
  <c r="X26" i="31"/>
  <c r="U26" i="31"/>
  <c r="R26" i="31"/>
  <c r="O26" i="31"/>
  <c r="G7" i="32" s="1"/>
  <c r="J23" i="32" s="1"/>
  <c r="L26" i="31"/>
  <c r="I26" i="31"/>
  <c r="E7" i="32" s="1"/>
  <c r="D23" i="32" s="1"/>
  <c r="F26" i="31"/>
  <c r="D7" i="32" s="1"/>
  <c r="N23" i="32" s="1"/>
  <c r="C26" i="31"/>
  <c r="C7" i="32" s="1"/>
  <c r="E23" i="32" s="1"/>
  <c r="AJ25" i="31"/>
  <c r="AG25" i="31"/>
  <c r="AD25" i="31"/>
  <c r="AA25" i="31"/>
  <c r="X25" i="31"/>
  <c r="U25" i="31"/>
  <c r="R25" i="31"/>
  <c r="O25" i="31"/>
  <c r="G6" i="32" s="1"/>
  <c r="N20" i="32" s="1"/>
  <c r="L25" i="31"/>
  <c r="I25" i="31"/>
  <c r="E6" i="32" s="1"/>
  <c r="C20" i="32" s="1"/>
  <c r="F25" i="31"/>
  <c r="D6" i="32" s="1"/>
  <c r="M20" i="32" s="1"/>
  <c r="C25" i="31"/>
  <c r="C6" i="32" s="1"/>
  <c r="K20" i="32" s="1"/>
  <c r="AJ24" i="31"/>
  <c r="AG24" i="31"/>
  <c r="AD24" i="31"/>
  <c r="AA24" i="31"/>
  <c r="X24" i="31"/>
  <c r="U24" i="31"/>
  <c r="R24" i="31"/>
  <c r="O24" i="31"/>
  <c r="G5" i="32" s="1"/>
  <c r="H17" i="32" s="1"/>
  <c r="L24" i="31"/>
  <c r="I24" i="31"/>
  <c r="E5" i="32" s="1"/>
  <c r="E17" i="32" s="1"/>
  <c r="F24" i="31"/>
  <c r="D5" i="32" s="1"/>
  <c r="J17" i="32" s="1"/>
  <c r="C24" i="31"/>
  <c r="C5" i="32" s="1"/>
  <c r="M17" i="32" s="1"/>
  <c r="AJ20" i="31"/>
  <c r="AJ21" i="31" s="1"/>
  <c r="AJ23" i="31" s="1"/>
  <c r="AG20" i="31"/>
  <c r="AG21" i="31" s="1"/>
  <c r="AG23" i="31" s="1"/>
  <c r="AD20" i="31"/>
  <c r="AD21" i="31" s="1"/>
  <c r="AD23" i="31" s="1"/>
  <c r="AA20" i="31"/>
  <c r="AA21" i="31" s="1"/>
  <c r="AA23" i="31" s="1"/>
  <c r="X20" i="31"/>
  <c r="X21" i="31" s="1"/>
  <c r="X23" i="31" s="1"/>
  <c r="U20" i="31"/>
  <c r="U21" i="31" s="1"/>
  <c r="U23" i="31" s="1"/>
  <c r="R20" i="31"/>
  <c r="R21" i="31" s="1"/>
  <c r="R23" i="31" s="1"/>
  <c r="O20" i="31"/>
  <c r="O21" i="31" s="1"/>
  <c r="O23" i="31" s="1"/>
  <c r="G4" i="32" s="1"/>
  <c r="J14" i="32" s="1"/>
  <c r="L20" i="31"/>
  <c r="L21" i="31" s="1"/>
  <c r="L23" i="31" s="1"/>
  <c r="I20" i="31"/>
  <c r="I21" i="31" s="1"/>
  <c r="I23" i="31" s="1"/>
  <c r="E4" i="32" s="1"/>
  <c r="H14" i="32" s="1"/>
  <c r="F20" i="31"/>
  <c r="F21" i="31" s="1"/>
  <c r="F23" i="31" s="1"/>
  <c r="D4" i="32" s="1"/>
  <c r="M14" i="32" s="1"/>
  <c r="C20" i="31"/>
  <c r="C21" i="31" s="1"/>
  <c r="C23" i="31" s="1"/>
  <c r="C4" i="32" s="1"/>
  <c r="N14" i="32" s="1"/>
  <c r="H3" i="31"/>
  <c r="K3" i="31" s="1"/>
  <c r="N3" i="31" s="1"/>
  <c r="Q3" i="31" s="1"/>
  <c r="T3" i="31" s="1"/>
  <c r="W3" i="31" s="1"/>
  <c r="Z3" i="31" s="1"/>
  <c r="AC3" i="31" s="1"/>
  <c r="AF3" i="31" s="1"/>
  <c r="AI3" i="31" s="1"/>
  <c r="K11" i="32" l="1"/>
  <c r="J11" i="32"/>
  <c r="D9" i="40" l="1"/>
  <c r="F9" i="40" s="1"/>
  <c r="D12" i="40" l="1"/>
  <c r="F12" i="40" l="1"/>
  <c r="D8" i="40" l="1"/>
  <c r="F8" i="40" s="1"/>
  <c r="C23" i="1" l="1"/>
  <c r="H26" i="1" l="1"/>
  <c r="G19" i="1"/>
  <c r="F19" i="1"/>
  <c r="E19" i="1"/>
  <c r="H4" i="1"/>
  <c r="D30" i="1"/>
  <c r="E11" i="1"/>
  <c r="E17" i="1" s="1"/>
  <c r="D11" i="1"/>
  <c r="E30" i="1"/>
  <c r="F30" i="1"/>
  <c r="G30" i="1"/>
  <c r="E26" i="1"/>
  <c r="F26" i="1"/>
  <c r="G26" i="1"/>
  <c r="E23" i="1"/>
  <c r="F23" i="1"/>
  <c r="G23" i="1"/>
  <c r="E20" i="1"/>
  <c r="F20" i="1"/>
  <c r="G20" i="1"/>
  <c r="F11" i="1"/>
  <c r="F15" i="1" s="1"/>
  <c r="G11" i="1"/>
  <c r="G15" i="1" s="1"/>
  <c r="E7" i="1"/>
  <c r="F7" i="1"/>
  <c r="G7" i="1"/>
  <c r="E4" i="1"/>
  <c r="F4" i="1"/>
  <c r="G4" i="1"/>
  <c r="H30" i="1"/>
  <c r="C30" i="1"/>
  <c r="E12" i="1" l="1"/>
  <c r="E15" i="1"/>
  <c r="G17" i="1"/>
  <c r="F17" i="1"/>
  <c r="G12" i="1"/>
  <c r="F12" i="1"/>
  <c r="D26" i="1" l="1"/>
  <c r="C26" i="1"/>
  <c r="K26" i="1" s="1"/>
  <c r="H23" i="1"/>
  <c r="D23" i="1"/>
  <c r="H20" i="1"/>
  <c r="D20" i="1"/>
  <c r="H19" i="1"/>
  <c r="D19" i="1"/>
  <c r="C20" i="1"/>
  <c r="C19" i="1"/>
  <c r="H11" i="1"/>
  <c r="D17" i="1"/>
  <c r="C11" i="1"/>
  <c r="C15" i="1" s="1"/>
  <c r="H7" i="1"/>
  <c r="D7" i="1"/>
  <c r="C7" i="1"/>
  <c r="D4" i="1"/>
  <c r="D15" i="1" l="1"/>
  <c r="D12" i="1"/>
  <c r="C12" i="1"/>
  <c r="C17" i="1"/>
  <c r="H12" i="1"/>
  <c r="H15" i="1"/>
  <c r="H17" i="1"/>
  <c r="D11" i="40" l="1"/>
  <c r="F11" i="40" s="1"/>
  <c r="D9" i="42" l="1"/>
  <c r="C25" i="42" l="1"/>
  <c r="F9" i="42"/>
  <c r="D12" i="42"/>
  <c r="D28" i="42" l="1"/>
  <c r="F12" i="42"/>
  <c r="D8" i="42" l="1"/>
  <c r="F8" i="4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Sofia Evenson</author>
  </authors>
  <commentList>
    <comment ref="C6" authorId="0" shapeId="0" xr:uid="{5E5F0536-889E-4079-8A4F-FB9F4C6EF4D5}">
      <text>
        <r>
          <rPr>
            <b/>
            <sz val="9"/>
            <color indexed="81"/>
            <rFont val="Tahoma"/>
            <family val="2"/>
          </rPr>
          <t>Sofia Evenson:</t>
        </r>
        <r>
          <rPr>
            <sz val="9"/>
            <color indexed="81"/>
            <rFont val="Tahoma"/>
            <family val="2"/>
          </rPr>
          <t xml:space="preserve">
Bloomberg defaults to Swiss Francs and some other comps are non USD default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<sst xmlns="http://schemas.openxmlformats.org/spreadsheetml/2006/main" count="778" uniqueCount="231">
  <si>
    <t>Dates</t>
  </si>
  <si>
    <t>Sales</t>
  </si>
  <si>
    <t xml:space="preserve">*I used revenue from the Income Statement and the 2024 estimates for 9/30/2024 </t>
  </si>
  <si>
    <t>% Sales Growth</t>
  </si>
  <si>
    <t>EBITDA</t>
  </si>
  <si>
    <t>*CF statement</t>
  </si>
  <si>
    <t>EBITDA Margin</t>
  </si>
  <si>
    <t>Depreciation and Amortization</t>
  </si>
  <si>
    <t>*Top of the CF statement (perating activities section)</t>
  </si>
  <si>
    <t>EBIT</t>
  </si>
  <si>
    <t>EBIT Margin</t>
  </si>
  <si>
    <t>Taxes</t>
  </si>
  <si>
    <t>*I used " - Income tax expense (benefit) from the Income Statement</t>
  </si>
  <si>
    <t>Tax Rate</t>
  </si>
  <si>
    <t xml:space="preserve">*Might need to use the Cash paid for taxes from the CF statement </t>
  </si>
  <si>
    <t>EBIAT</t>
  </si>
  <si>
    <t xml:space="preserve"> Depreciation and Amortization</t>
  </si>
  <si>
    <t>D&amp;A/Sales</t>
  </si>
  <si>
    <t xml:space="preserve"> Capex</t>
  </si>
  <si>
    <t>Capex/Sales</t>
  </si>
  <si>
    <t>Less  Increase (or Plus Decrease) in NWC</t>
  </si>
  <si>
    <t>*I used - Change in Non -Cash Working Capital (under Cash from operating activities) in the CF statement</t>
  </si>
  <si>
    <t>NWC/Sales</t>
  </si>
  <si>
    <t>Average</t>
  </si>
  <si>
    <t>Stock-Based Compensation (if "material")</t>
  </si>
  <si>
    <t>*I got this from the Cash from Operating Activities sections of the Cashflow Statement</t>
  </si>
  <si>
    <t>SBC/Sales</t>
  </si>
  <si>
    <t>Target Price Calculation</t>
  </si>
  <si>
    <t>ONON Target Price</t>
  </si>
  <si>
    <t>Current Price</t>
  </si>
  <si>
    <t>Comps</t>
  </si>
  <si>
    <t>Target Price</t>
  </si>
  <si>
    <t>% Weight</t>
  </si>
  <si>
    <t>% Upside</t>
  </si>
  <si>
    <t>Direct</t>
  </si>
  <si>
    <t>Indirect</t>
  </si>
  <si>
    <t>DCF</t>
  </si>
  <si>
    <t>H - conservative</t>
  </si>
  <si>
    <t>CAGR</t>
  </si>
  <si>
    <t>H- realistic</t>
  </si>
  <si>
    <t>EBIT Multiple</t>
  </si>
  <si>
    <t>EBITDA Multiple</t>
  </si>
  <si>
    <t>Final</t>
  </si>
  <si>
    <t>Weight</t>
  </si>
  <si>
    <t>DCF H-Model</t>
  </si>
  <si>
    <t>Direct P/OCF</t>
  </si>
  <si>
    <t>Indirect EV/EBIDTA</t>
  </si>
  <si>
    <t>Total</t>
  </si>
  <si>
    <t xml:space="preserve">ONON </t>
  </si>
  <si>
    <t>R&amp;D</t>
  </si>
  <si>
    <t>Net Sales</t>
  </si>
  <si>
    <t>R&amp;D / Sales %</t>
  </si>
  <si>
    <t>DECK</t>
  </si>
  <si>
    <t>NIKE</t>
  </si>
  <si>
    <t>Capitalized research and development expenditures</t>
  </si>
  <si>
    <t>LULU</t>
  </si>
  <si>
    <t>Research &amp; Experimental Expenditures</t>
  </si>
  <si>
    <t>pg 72 10K</t>
  </si>
  <si>
    <t>UGG</t>
  </si>
  <si>
    <t>Net Revenue</t>
  </si>
  <si>
    <t>Hoka</t>
  </si>
  <si>
    <t>% HOKA</t>
  </si>
  <si>
    <t>ASCCY (¥)</t>
  </si>
  <si>
    <t>%UGG</t>
  </si>
  <si>
    <t>Historical Data</t>
  </si>
  <si>
    <t>Date</t>
  </si>
  <si>
    <t xml:space="preserve">Hictorical </t>
  </si>
  <si>
    <t xml:space="preserve"> </t>
  </si>
  <si>
    <t>EBIAT (Net Income</t>
  </si>
  <si>
    <t>Net Capex</t>
  </si>
  <si>
    <t>Less Increase (Plus Decrease) In NWC</t>
  </si>
  <si>
    <t>Revenue</t>
  </si>
  <si>
    <t>2021A</t>
  </si>
  <si>
    <t>2022A</t>
  </si>
  <si>
    <t>2023A</t>
  </si>
  <si>
    <t>2024A</t>
  </si>
  <si>
    <t>Net Debt Calculation</t>
  </si>
  <si>
    <t>ST Debt</t>
  </si>
  <si>
    <t>Sales &amp; Services Revenue</t>
  </si>
  <si>
    <t>Other ST Liab</t>
  </si>
  <si>
    <t>Growth</t>
  </si>
  <si>
    <t>LT Debt</t>
  </si>
  <si>
    <t>Other LT Liab</t>
  </si>
  <si>
    <t>Other Revenue</t>
  </si>
  <si>
    <t>Total Revenue</t>
  </si>
  <si>
    <t>Cash</t>
  </si>
  <si>
    <t>Cost of Revenue</t>
  </si>
  <si>
    <t>Gross Profit</t>
  </si>
  <si>
    <t>OpEx</t>
  </si>
  <si>
    <t>Depreciation &amp; Amortization</t>
  </si>
  <si>
    <t>Margin</t>
  </si>
  <si>
    <t>Operating Income (EBIT)</t>
  </si>
  <si>
    <t>Non-Operating Loss</t>
  </si>
  <si>
    <t>Abnormal Losses</t>
  </si>
  <si>
    <t>Pre-Tax Income</t>
  </si>
  <si>
    <t>Income Tax Expense</t>
  </si>
  <si>
    <t>Net Income</t>
  </si>
  <si>
    <t>Fully Diluted Weighted Avg Shares</t>
  </si>
  <si>
    <t>EPS</t>
  </si>
  <si>
    <t>Bloomberg EPS forecast</t>
  </si>
  <si>
    <t>Abnormal Losses &amp; Gains</t>
  </si>
  <si>
    <t>Net Income Attributable to Common</t>
  </si>
  <si>
    <t>Discounted Cash Flow Model - EV/EBITDA</t>
  </si>
  <si>
    <t>Operating Scenario</t>
  </si>
  <si>
    <t xml:space="preserve">EV/EBITDA </t>
  </si>
  <si>
    <t>Current</t>
  </si>
  <si>
    <t>WACC</t>
  </si>
  <si>
    <t>Terminal Year EBITDA</t>
  </si>
  <si>
    <t>Comps EV/EBITDA Multiple</t>
  </si>
  <si>
    <t>Terminal Value</t>
  </si>
  <si>
    <t>Discount Factor</t>
  </si>
  <si>
    <t>Enterprise Value:</t>
  </si>
  <si>
    <t>Cumulative PV of FCF</t>
  </si>
  <si>
    <t>PV of Terminal Value</t>
  </si>
  <si>
    <t>% of Enterprise Value</t>
  </si>
  <si>
    <t>Enterprise Value</t>
  </si>
  <si>
    <t>Implied Equity Value</t>
  </si>
  <si>
    <t>Total Debt</t>
  </si>
  <si>
    <t>Unlevered Free Cash Flow</t>
  </si>
  <si>
    <t>Minority Interest</t>
  </si>
  <si>
    <t>Cash and Cash Equivalents</t>
  </si>
  <si>
    <t>Implied Equity Value (Market Cap)</t>
  </si>
  <si>
    <t>Fully Diluted Shares Outstanding</t>
  </si>
  <si>
    <t>Implied Price Per Share</t>
  </si>
  <si>
    <t>Sensitivity Table</t>
  </si>
  <si>
    <t xml:space="preserve">Multiple </t>
  </si>
  <si>
    <t>Less Increase (or Plus Decrease) in NWC</t>
  </si>
  <si>
    <t>Unlevered Free Cash Flow to the Firm</t>
  </si>
  <si>
    <t>Discounting of Annual Free Cash Flow</t>
  </si>
  <si>
    <t>Discount Period (Mid-Year Convention)</t>
  </si>
  <si>
    <t>PVLS Factor</t>
  </si>
  <si>
    <t>Present Value of Free Cash Flow</t>
  </si>
  <si>
    <t>Daily</t>
  </si>
  <si>
    <t>Quarterly</t>
  </si>
  <si>
    <t>Last Price</t>
  </si>
  <si>
    <t>Volume</t>
  </si>
  <si>
    <t>SMAVG (15)</t>
  </si>
  <si>
    <t>Terminal Year EBIT</t>
  </si>
  <si>
    <t>Comps EV/EBIT Multiple</t>
  </si>
  <si>
    <t>Cumulative PV of UFCF</t>
  </si>
  <si>
    <t>&lt;-- It had the wrong number</t>
  </si>
  <si>
    <t>Comparable Companiese Base Data</t>
  </si>
  <si>
    <t>TARGET Firm</t>
  </si>
  <si>
    <t>ONON</t>
  </si>
  <si>
    <t>BIRK</t>
  </si>
  <si>
    <t>ADDYY</t>
  </si>
  <si>
    <t>PBYI</t>
  </si>
  <si>
    <t>ASCCY</t>
  </si>
  <si>
    <t>AS</t>
  </si>
  <si>
    <t>CROX</t>
  </si>
  <si>
    <t>SHOO</t>
  </si>
  <si>
    <t>SKX</t>
  </si>
  <si>
    <t>WWW</t>
  </si>
  <si>
    <t xml:space="preserve">On Holdings </t>
  </si>
  <si>
    <t>Birkenstock Holding</t>
  </si>
  <si>
    <t>Adidas US Equity</t>
  </si>
  <si>
    <t>Puma SE</t>
  </si>
  <si>
    <t>Asics</t>
  </si>
  <si>
    <t>Amer Sports</t>
  </si>
  <si>
    <t>Crocs INC</t>
  </si>
  <si>
    <t>Deckers Outdoor</t>
  </si>
  <si>
    <t>Steve Madden LTD</t>
  </si>
  <si>
    <t>Skechers USA</t>
  </si>
  <si>
    <t>World Wide Wolverine</t>
  </si>
  <si>
    <t>Lululemon</t>
  </si>
  <si>
    <t>Currency</t>
  </si>
  <si>
    <t>USD</t>
  </si>
  <si>
    <t>Far Forecast Revenue</t>
  </si>
  <si>
    <t>Far Forecast Date</t>
  </si>
  <si>
    <t>LTM Revenue</t>
  </si>
  <si>
    <t>LTM Date</t>
  </si>
  <si>
    <t>LTM Gross Profit</t>
  </si>
  <si>
    <t>LTM EBITDA</t>
  </si>
  <si>
    <t xml:space="preserve">LTM EBIT </t>
  </si>
  <si>
    <t>LTM OCF</t>
  </si>
  <si>
    <t>LFY FCF</t>
  </si>
  <si>
    <t>Debt</t>
  </si>
  <si>
    <t>Market Cap</t>
  </si>
  <si>
    <t>Rev Forecast Mo.</t>
  </si>
  <si>
    <t>Rev Forecast Yrs.</t>
  </si>
  <si>
    <t>Exp. Rev. Growth</t>
  </si>
  <si>
    <t>Gross Profit Margin</t>
  </si>
  <si>
    <t>OCF Margin</t>
  </si>
  <si>
    <t>FCF Margin</t>
  </si>
  <si>
    <t>Debt/Debt+Equity Margin</t>
  </si>
  <si>
    <t>Sort Data</t>
  </si>
  <si>
    <t>Value Drivers</t>
  </si>
  <si>
    <t>Debt/Debt+Equity</t>
  </si>
  <si>
    <t>Sort Summary</t>
  </si>
  <si>
    <t>Final Selections</t>
  </si>
  <si>
    <t>Direct Valuation</t>
  </si>
  <si>
    <t>Multiples from Comps</t>
  </si>
  <si>
    <t>% Difference Calculation</t>
  </si>
  <si>
    <t>Mean</t>
  </si>
  <si>
    <t>Median</t>
  </si>
  <si>
    <t>% Diff</t>
  </si>
  <si>
    <t>P/E</t>
  </si>
  <si>
    <t>P/B</t>
  </si>
  <si>
    <t>P/BV</t>
  </si>
  <si>
    <t>P/TBV</t>
  </si>
  <si>
    <t>-</t>
  </si>
  <si>
    <t>P/OCF</t>
  </si>
  <si>
    <t>P/FCF</t>
  </si>
  <si>
    <t>Price Multiples Per Share</t>
  </si>
  <si>
    <t>Per share data</t>
  </si>
  <si>
    <t>2025 Y EST</t>
  </si>
  <si>
    <t>Book Value Per Share</t>
  </si>
  <si>
    <t xml:space="preserve">Direct Valuation </t>
  </si>
  <si>
    <t>Tangible Book Value Per Share</t>
  </si>
  <si>
    <t>/</t>
  </si>
  <si>
    <t xml:space="preserve">Selected Metric </t>
  </si>
  <si>
    <t>Earnings Per Share (normalized net income)</t>
  </si>
  <si>
    <t>OCF Per Share</t>
  </si>
  <si>
    <t>ONON OCF/Share</t>
  </si>
  <si>
    <t>Earnings/Share</t>
  </si>
  <si>
    <t>FCF Per Share</t>
  </si>
  <si>
    <t xml:space="preserve">Median Multiple </t>
  </si>
  <si>
    <t>Implied Share Price</t>
  </si>
  <si>
    <t>Indirect Valuation</t>
  </si>
  <si>
    <t>EV/S</t>
  </si>
  <si>
    <t>EV/EBITDA</t>
  </si>
  <si>
    <t>EV/EBIT</t>
  </si>
  <si>
    <t xml:space="preserve">Indirect Valuation </t>
  </si>
  <si>
    <t>Selected Metric</t>
  </si>
  <si>
    <t>ONON EBITDA</t>
  </si>
  <si>
    <t>Median Multiple</t>
  </si>
  <si>
    <t>ONON Est. EV</t>
  </si>
  <si>
    <t xml:space="preserve">   Less Debt</t>
  </si>
  <si>
    <t xml:space="preserve">   Preferred Stock/Minority Interest</t>
  </si>
  <si>
    <t>Plus Cash</t>
  </si>
  <si>
    <t>ONON EQ 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</si>
</sst>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%"/>
    <numFmt numFmtId="165" formatCode="0.0_);[Red]\(0.0\)"/>
    <numFmt numFmtId="166" formatCode="0.0"/>
    <numFmt numFmtId="167" formatCode="_(&quot;$&quot;* #,##0.0_);_(&quot;$&quot;* \(#,##0.0\);_(&quot;$&quot;* &quot;-&quot;??_);_(@_)"/>
    <numFmt numFmtId="168" formatCode="_(&quot;$&quot;* #,##0_);_(&quot;$&quot;* \(#,##0\);_(&quot;$&quot;* &quot;-&quot;??_);_(@_)"/>
    <numFmt numFmtId="169" formatCode="&quot;$&quot;#,##0"/>
    <numFmt numFmtId="170" formatCode="&quot;$&quot;#,##0.0"/>
    <numFmt numFmtId="171" formatCode="&quot;$&quot;#,##0.00"/>
    <numFmt numFmtId="172" formatCode="&quot;FY&quot;\ 0"/>
    <numFmt numFmtId="173" formatCode="_(#,##0.00%_);\(#,##0.00%\);_(&quot;–&quot;_);_(@_)"/>
    <numFmt numFmtId="174" formatCode="_-* #,##0.0_-;\-* #,##0.0_-;_-* &quot;-&quot;??_-;_-@"/>
    <numFmt numFmtId="175" formatCode="_(#,##0.00_);\(#,##0.00\);_(&quot;–&quot;_);_(@_)"/>
    <numFmt numFmtId="176" formatCode="#,##0.0_);[Red]\(#,##0.0\)"/>
    <numFmt numFmtId="177" formatCode="00.0\x"/>
    <numFmt numFmtId="178" formatCode="_(* #,##0.0_);_(* \(#,##0.0\);_(* &quot;-&quot;??_);_(@_)"/>
    <numFmt numFmtId="179" formatCode="#,##0.0"/>
    <numFmt numFmtId="180" formatCode="_-* #,##0_-;\-* #,##0_-;_-* &quot;-&quot;??_-;_-@"/>
    <numFmt numFmtId="181" formatCode="0.0\x"/>
    <numFmt numFmtId="182" formatCode="&quot;$&quot;#,##0.0_);[Red]\(&quot;$&quot;#,##0.0\)"/>
    <numFmt numFmtId="183" formatCode="00.00000\x"/>
    <numFmt numFmtId="184" formatCode="00.000000\x"/>
    <numFmt numFmtId="185" formatCode="[$¥-411]#,##0"/>
    <numFmt numFmtId="186" formatCode="0\ &quot;A&quot;"/>
    <numFmt numFmtId="187" formatCode="0\ &quot;E&quot;"/>
    <numFmt numFmtId="188" formatCode="[$$-409]#,##0.0"/>
    <numFmt numFmtId="189" formatCode="[$$-409]#,##0.00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36"/>
      <color theme="0"/>
      <name val="Times New Roman"/>
      <family val="1"/>
    </font>
    <font>
      <b/>
      <sz val="14"/>
      <color rgb="FFFFFFFF"/>
      <name val="Times New Roman"/>
      <family val="1"/>
    </font>
    <font>
      <sz val="14"/>
      <color theme="1"/>
      <name val="Times New Roman"/>
      <family val="1"/>
    </font>
    <font>
      <sz val="14"/>
      <color theme="0"/>
      <name val="Times New Roman"/>
      <family val="1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4"/>
      <color theme="0"/>
      <name val="Garamond"/>
      <family val="1"/>
    </font>
    <font>
      <sz val="14"/>
      <color theme="1"/>
      <name val="Garamond"/>
      <family val="1"/>
    </font>
    <font>
      <b/>
      <sz val="14"/>
      <color theme="1"/>
      <name val="Garamond"/>
      <family val="1"/>
    </font>
    <font>
      <sz val="12"/>
      <color theme="1"/>
      <name val="Calibri"/>
      <family val="2"/>
      <scheme val="minor"/>
    </font>
    <font>
      <sz val="14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1"/>
      <name val="Times New Roman"/>
      <family val="1"/>
    </font>
    <font>
      <sz val="11"/>
      <color theme="7" tint="-0.499984740745262"/>
      <name val="Times New Roman"/>
      <family val="1"/>
    </font>
    <font>
      <sz val="36"/>
      <color theme="0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1"/>
      <color rgb="FF000000"/>
      <name val="Cambria"/>
      <family val="1"/>
      <scheme val="major"/>
    </font>
    <font>
      <b/>
      <sz val="11"/>
      <color theme="3" tint="9.9978637043366805E-2"/>
      <name val="Cambria"/>
      <family val="1"/>
      <scheme val="major"/>
    </font>
    <font>
      <b/>
      <sz val="11"/>
      <color theme="1"/>
      <name val="Cambria"/>
      <family val="1"/>
      <scheme val="major"/>
    </font>
    <font>
      <sz val="11"/>
      <color rgb="FF440000"/>
      <name val="Cambria"/>
      <family val="1"/>
      <scheme val="major"/>
    </font>
    <font>
      <b/>
      <i/>
      <sz val="11"/>
      <color theme="1"/>
      <name val="Cambria"/>
      <family val="1"/>
      <scheme val="major"/>
    </font>
    <font>
      <i/>
      <sz val="11"/>
      <color rgb="FF000000"/>
      <name val="Cambria"/>
      <family val="1"/>
      <scheme val="major"/>
    </font>
    <font>
      <sz val="12"/>
      <color theme="1"/>
      <name val="Times New Roman"/>
      <family val="1"/>
    </font>
    <font>
      <i/>
      <sz val="11"/>
      <color theme="1"/>
      <name val="Cambria"/>
      <family val="1"/>
      <scheme val="major"/>
    </font>
    <font>
      <b/>
      <sz val="14"/>
      <color theme="0"/>
      <name val="Times New Roman"/>
      <family val="1"/>
    </font>
    <font>
      <sz val="14"/>
      <name val="Times New Roman"/>
      <family val="1"/>
    </font>
    <font>
      <b/>
      <sz val="11"/>
      <color rgb="FFFF0000"/>
      <name val="Times New Roman"/>
      <family val="1"/>
    </font>
    <font>
      <sz val="14"/>
      <color rgb="FFFF0000"/>
      <name val="Calibri"/>
      <family val="2"/>
      <scheme val="minor"/>
    </font>
    <font>
      <b/>
      <sz val="11"/>
      <color rgb="FFFF0000"/>
      <name val="Cambria"/>
      <family val="1"/>
      <scheme val="major"/>
    </font>
    <font>
      <sz val="11"/>
      <color rgb="FFFF0000"/>
      <name val="Cambria"/>
      <family val="1"/>
      <scheme val="major"/>
    </font>
    <font>
      <sz val="11"/>
      <color theme="0"/>
      <name val="Calibri"/>
      <family val="2"/>
      <scheme val="minor"/>
    </font>
    <font>
      <sz val="11"/>
      <color rgb="FFFF0000"/>
      <name val="Times New Roman"/>
      <family val="1"/>
    </font>
    <font>
      <sz val="11"/>
      <color theme="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0"/>
      <name val="Times New Roman"/>
      <family val="1"/>
    </font>
    <font>
      <b/>
      <sz val="15"/>
      <color theme="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D8D8D8"/>
        <bgColor rgb="FFD8D8D8"/>
      </patternFill>
    </fill>
    <fill>
      <patternFill patternType="solid">
        <fgColor rgb="FF000066"/>
        <bgColor rgb="FF073763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073763"/>
      </patternFill>
    </fill>
    <fill>
      <patternFill patternType="solid">
        <fgColor rgb="FF002060"/>
        <bgColor rgb="FF1C4587"/>
      </patternFill>
    </fill>
    <fill>
      <patternFill patternType="solid">
        <fgColor rgb="FF00503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91B9A4"/>
        <bgColor indexed="64"/>
      </patternFill>
    </fill>
    <fill>
      <patternFill patternType="solid">
        <fgColor rgb="FF91B9A4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00148D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2" fontId="5" fillId="0" borderId="0"/>
    <xf numFmtId="44" fontId="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</cellStyleXfs>
  <cellXfs count="476">
    <xf numFmtId="0" fontId="0" fillId="0" borderId="0" xfId="0"/>
    <xf numFmtId="164" fontId="0" fillId="0" borderId="0" xfId="0" applyNumberFormat="1"/>
    <xf numFmtId="0" fontId="3" fillId="0" borderId="0" xfId="0" applyFont="1"/>
    <xf numFmtId="14" fontId="0" fillId="0" borderId="0" xfId="0" applyNumberFormat="1"/>
    <xf numFmtId="0" fontId="4" fillId="0" borderId="0" xfId="0" applyFont="1" applyAlignment="1">
      <alignment wrapText="1"/>
    </xf>
    <xf numFmtId="44" fontId="0" fillId="0" borderId="0" xfId="2" applyFont="1"/>
    <xf numFmtId="167" fontId="0" fillId="0" borderId="0" xfId="2" applyNumberFormat="1" applyFont="1"/>
    <xf numFmtId="168" fontId="0" fillId="0" borderId="0" xfId="2" applyNumberFormat="1" applyFont="1"/>
    <xf numFmtId="14" fontId="0" fillId="0" borderId="1" xfId="0" applyNumberFormat="1" applyBorder="1"/>
    <xf numFmtId="0" fontId="2" fillId="0" borderId="1" xfId="0" applyFont="1" applyBorder="1"/>
    <xf numFmtId="0" fontId="0" fillId="0" borderId="1" xfId="0" applyBorder="1"/>
    <xf numFmtId="167" fontId="0" fillId="0" borderId="1" xfId="2" applyNumberFormat="1" applyFont="1" applyFill="1" applyBorder="1"/>
    <xf numFmtId="168" fontId="0" fillId="0" borderId="1" xfId="2" applyNumberFormat="1" applyFont="1" applyFill="1" applyBorder="1"/>
    <xf numFmtId="167" fontId="0" fillId="0" borderId="1" xfId="2" applyNumberFormat="1" applyFont="1" applyBorder="1"/>
    <xf numFmtId="168" fontId="3" fillId="0" borderId="0" xfId="2" applyNumberFormat="1" applyFont="1"/>
    <xf numFmtId="167" fontId="4" fillId="0" borderId="0" xfId="2" applyNumberFormat="1" applyFont="1" applyAlignment="1">
      <alignment wrapText="1"/>
    </xf>
    <xf numFmtId="0" fontId="2" fillId="4" borderId="1" xfId="0" applyFont="1" applyFill="1" applyBorder="1"/>
    <xf numFmtId="0" fontId="0" fillId="2" borderId="1" xfId="0" applyFill="1" applyBorder="1"/>
    <xf numFmtId="10" fontId="0" fillId="2" borderId="1" xfId="0" applyNumberFormat="1" applyFill="1" applyBorder="1"/>
    <xf numFmtId="9" fontId="0" fillId="0" borderId="1" xfId="1" applyFont="1" applyBorder="1"/>
    <xf numFmtId="164" fontId="0" fillId="2" borderId="1" xfId="0" applyNumberFormat="1" applyFill="1" applyBorder="1"/>
    <xf numFmtId="168" fontId="2" fillId="0" borderId="1" xfId="2" applyNumberFormat="1" applyFont="1" applyBorder="1"/>
    <xf numFmtId="0" fontId="2" fillId="2" borderId="1" xfId="0" applyFont="1" applyFill="1" applyBorder="1" applyAlignment="1">
      <alignment horizontal="right"/>
    </xf>
    <xf numFmtId="167" fontId="2" fillId="0" borderId="1" xfId="2" applyNumberFormat="1" applyFont="1" applyBorder="1"/>
    <xf numFmtId="167" fontId="3" fillId="0" borderId="0" xfId="2" applyNumberFormat="1" applyFont="1"/>
    <xf numFmtId="0" fontId="0" fillId="4" borderId="0" xfId="0" applyFill="1"/>
    <xf numFmtId="0" fontId="8" fillId="4" borderId="0" xfId="0" applyFont="1" applyFill="1"/>
    <xf numFmtId="0" fontId="10" fillId="4" borderId="0" xfId="0" applyFont="1" applyFill="1"/>
    <xf numFmtId="0" fontId="10" fillId="4" borderId="20" xfId="0" applyFont="1" applyFill="1" applyBorder="1"/>
    <xf numFmtId="173" fontId="8" fillId="4" borderId="0" xfId="0" applyNumberFormat="1" applyFont="1" applyFill="1"/>
    <xf numFmtId="0" fontId="11" fillId="8" borderId="0" xfId="0" applyFont="1" applyFill="1"/>
    <xf numFmtId="174" fontId="10" fillId="8" borderId="20" xfId="0" applyNumberFormat="1" applyFont="1" applyFill="1" applyBorder="1"/>
    <xf numFmtId="174" fontId="10" fillId="8" borderId="0" xfId="0" applyNumberFormat="1" applyFont="1" applyFill="1"/>
    <xf numFmtId="0" fontId="10" fillId="4" borderId="0" xfId="0" applyFont="1" applyFill="1" applyAlignment="1">
      <alignment horizontal="right"/>
    </xf>
    <xf numFmtId="164" fontId="10" fillId="4" borderId="20" xfId="0" applyNumberFormat="1" applyFont="1" applyFill="1" applyBorder="1"/>
    <xf numFmtId="164" fontId="10" fillId="4" borderId="0" xfId="0" applyNumberFormat="1" applyFont="1" applyFill="1"/>
    <xf numFmtId="0" fontId="10" fillId="4" borderId="0" xfId="0" applyFont="1" applyFill="1" applyAlignment="1">
      <alignment horizontal="left"/>
    </xf>
    <xf numFmtId="0" fontId="11" fillId="8" borderId="0" xfId="0" applyFont="1" applyFill="1" applyAlignment="1">
      <alignment horizontal="left"/>
    </xf>
    <xf numFmtId="2" fontId="8" fillId="4" borderId="0" xfId="0" applyNumberFormat="1" applyFont="1" applyFill="1"/>
    <xf numFmtId="176" fontId="10" fillId="8" borderId="0" xfId="0" applyNumberFormat="1" applyFont="1" applyFill="1"/>
    <xf numFmtId="169" fontId="8" fillId="4" borderId="0" xfId="0" applyNumberFormat="1" applyFont="1" applyFill="1" applyAlignment="1">
      <alignment horizontal="right"/>
    </xf>
    <xf numFmtId="0" fontId="8" fillId="4" borderId="0" xfId="0" applyFont="1" applyFill="1" applyAlignment="1">
      <alignment horizontal="left"/>
    </xf>
    <xf numFmtId="10" fontId="8" fillId="4" borderId="0" xfId="0" applyNumberFormat="1" applyFont="1" applyFill="1" applyAlignment="1">
      <alignment horizontal="right"/>
    </xf>
    <xf numFmtId="164" fontId="10" fillId="4" borderId="5" xfId="0" applyNumberFormat="1" applyFont="1" applyFill="1" applyBorder="1"/>
    <xf numFmtId="0" fontId="8" fillId="4" borderId="0" xfId="0" applyFont="1" applyFill="1" applyAlignment="1">
      <alignment horizontal="right"/>
    </xf>
    <xf numFmtId="6" fontId="8" fillId="4" borderId="0" xfId="0" applyNumberFormat="1" applyFont="1" applyFill="1" applyAlignment="1">
      <alignment horizontal="right"/>
    </xf>
    <xf numFmtId="3" fontId="8" fillId="4" borderId="0" xfId="0" applyNumberFormat="1" applyFont="1" applyFill="1" applyAlignment="1">
      <alignment horizontal="right"/>
    </xf>
    <xf numFmtId="165" fontId="10" fillId="8" borderId="20" xfId="0" applyNumberFormat="1" applyFont="1" applyFill="1" applyBorder="1"/>
    <xf numFmtId="165" fontId="10" fillId="8" borderId="0" xfId="0" applyNumberFormat="1" applyFont="1" applyFill="1"/>
    <xf numFmtId="178" fontId="10" fillId="8" borderId="5" xfId="0" applyNumberFormat="1" applyFont="1" applyFill="1" applyBorder="1"/>
    <xf numFmtId="178" fontId="10" fillId="8" borderId="0" xfId="0" applyNumberFormat="1" applyFont="1" applyFill="1"/>
    <xf numFmtId="0" fontId="10" fillId="8" borderId="20" xfId="0" applyFont="1" applyFill="1" applyBorder="1"/>
    <xf numFmtId="0" fontId="10" fillId="8" borderId="0" xfId="0" applyFont="1" applyFill="1"/>
    <xf numFmtId="164" fontId="10" fillId="8" borderId="20" xfId="0" applyNumberFormat="1" applyFont="1" applyFill="1" applyBorder="1"/>
    <xf numFmtId="164" fontId="10" fillId="8" borderId="0" xfId="0" applyNumberFormat="1" applyFont="1" applyFill="1"/>
    <xf numFmtId="2" fontId="10" fillId="8" borderId="20" xfId="0" applyNumberFormat="1" applyFont="1" applyFill="1" applyBorder="1"/>
    <xf numFmtId="2" fontId="10" fillId="8" borderId="0" xfId="0" applyNumberFormat="1" applyFont="1" applyFill="1"/>
    <xf numFmtId="171" fontId="10" fillId="8" borderId="5" xfId="0" applyNumberFormat="1" applyFont="1" applyFill="1" applyBorder="1"/>
    <xf numFmtId="171" fontId="10" fillId="8" borderId="0" xfId="0" applyNumberFormat="1" applyFont="1" applyFill="1"/>
    <xf numFmtId="177" fontId="8" fillId="4" borderId="0" xfId="0" applyNumberFormat="1" applyFont="1" applyFill="1"/>
    <xf numFmtId="179" fontId="8" fillId="4" borderId="0" xfId="0" applyNumberFormat="1" applyFont="1" applyFill="1" applyAlignment="1">
      <alignment horizontal="right"/>
    </xf>
    <xf numFmtId="0" fontId="7" fillId="9" borderId="19" xfId="0" applyFont="1" applyFill="1" applyBorder="1" applyAlignment="1">
      <alignment horizontal="center"/>
    </xf>
    <xf numFmtId="0" fontId="13" fillId="4" borderId="0" xfId="0" applyFont="1" applyFill="1"/>
    <xf numFmtId="171" fontId="8" fillId="4" borderId="0" xfId="2" applyNumberFormat="1" applyFont="1" applyFill="1" applyAlignment="1">
      <alignment wrapText="1"/>
    </xf>
    <xf numFmtId="180" fontId="8" fillId="4" borderId="0" xfId="0" applyNumberFormat="1" applyFont="1" applyFill="1" applyAlignment="1">
      <alignment horizontal="right"/>
    </xf>
    <xf numFmtId="0" fontId="7" fillId="4" borderId="0" xfId="0" applyFont="1" applyFill="1"/>
    <xf numFmtId="0" fontId="7" fillId="4" borderId="0" xfId="0" applyFont="1" applyFill="1" applyAlignment="1">
      <alignment horizontal="center" wrapText="1"/>
    </xf>
    <xf numFmtId="169" fontId="8" fillId="4" borderId="0" xfId="2" applyNumberFormat="1" applyFont="1" applyFill="1" applyAlignment="1">
      <alignment wrapText="1"/>
    </xf>
    <xf numFmtId="164" fontId="8" fillId="4" borderId="0" xfId="1" applyNumberFormat="1" applyFont="1" applyFill="1" applyAlignment="1">
      <alignment horizontal="right"/>
    </xf>
    <xf numFmtId="175" fontId="8" fillId="4" borderId="0" xfId="0" applyNumberFormat="1" applyFont="1" applyFill="1" applyAlignment="1">
      <alignment horizontal="right"/>
    </xf>
    <xf numFmtId="10" fontId="8" fillId="4" borderId="0" xfId="1" applyNumberFormat="1" applyFont="1" applyFill="1" applyAlignment="1">
      <alignment horizontal="right"/>
    </xf>
    <xf numFmtId="0" fontId="7" fillId="4" borderId="0" xfId="0" applyFont="1" applyFill="1" applyAlignment="1">
      <alignment horizontal="right" wrapText="1"/>
    </xf>
    <xf numFmtId="0" fontId="15" fillId="0" borderId="8" xfId="0" applyFont="1" applyBorder="1"/>
    <xf numFmtId="171" fontId="14" fillId="4" borderId="2" xfId="4" applyNumberFormat="1" applyFont="1" applyFill="1" applyBorder="1"/>
    <xf numFmtId="177" fontId="8" fillId="4" borderId="27" xfId="0" applyNumberFormat="1" applyFont="1" applyFill="1" applyBorder="1"/>
    <xf numFmtId="164" fontId="15" fillId="4" borderId="2" xfId="1" applyNumberFormat="1" applyFont="1" applyFill="1" applyBorder="1"/>
    <xf numFmtId="44" fontId="15" fillId="0" borderId="21" xfId="4" applyFont="1" applyBorder="1"/>
    <xf numFmtId="44" fontId="15" fillId="0" borderId="24" xfId="4" applyFont="1" applyBorder="1"/>
    <xf numFmtId="44" fontId="15" fillId="0" borderId="25" xfId="4" applyFont="1" applyBorder="1"/>
    <xf numFmtId="44" fontId="15" fillId="0" borderId="2" xfId="4" applyFont="1" applyBorder="1"/>
    <xf numFmtId="44" fontId="15" fillId="0" borderId="0" xfId="4" applyFont="1"/>
    <xf numFmtId="44" fontId="15" fillId="0" borderId="27" xfId="4" applyFont="1" applyBorder="1"/>
    <xf numFmtId="44" fontId="16" fillId="0" borderId="0" xfId="4" applyFont="1"/>
    <xf numFmtId="164" fontId="15" fillId="4" borderId="29" xfId="1" applyNumberFormat="1" applyFont="1" applyFill="1" applyBorder="1"/>
    <xf numFmtId="44" fontId="15" fillId="0" borderId="29" xfId="4" applyFont="1" applyBorder="1"/>
    <xf numFmtId="44" fontId="15" fillId="0" borderId="6" xfId="4" applyFont="1" applyBorder="1"/>
    <xf numFmtId="44" fontId="15" fillId="0" borderId="30" xfId="4" applyFont="1" applyBorder="1"/>
    <xf numFmtId="0" fontId="7" fillId="11" borderId="0" xfId="0" applyFont="1" applyFill="1"/>
    <xf numFmtId="172" fontId="7" fillId="11" borderId="19" xfId="0" applyNumberFormat="1" applyFont="1" applyFill="1" applyBorder="1" applyAlignment="1">
      <alignment horizontal="center"/>
    </xf>
    <xf numFmtId="0" fontId="7" fillId="11" borderId="0" xfId="0" applyFont="1" applyFill="1" applyAlignment="1">
      <alignment horizontal="center"/>
    </xf>
    <xf numFmtId="0" fontId="7" fillId="11" borderId="19" xfId="0" applyFont="1" applyFill="1" applyBorder="1" applyAlignment="1">
      <alignment horizontal="center"/>
    </xf>
    <xf numFmtId="0" fontId="7" fillId="12" borderId="0" xfId="0" applyFont="1" applyFill="1"/>
    <xf numFmtId="0" fontId="7" fillId="12" borderId="0" xfId="0" applyFont="1" applyFill="1" applyAlignment="1">
      <alignment horizontal="center" wrapText="1"/>
    </xf>
    <xf numFmtId="0" fontId="7" fillId="12" borderId="0" xfId="0" applyFont="1" applyFill="1" applyAlignment="1">
      <alignment horizontal="right" wrapText="1"/>
    </xf>
    <xf numFmtId="0" fontId="0" fillId="4" borderId="8" xfId="0" applyFill="1" applyBorder="1"/>
    <xf numFmtId="0" fontId="6" fillId="13" borderId="0" xfId="0" applyFont="1" applyFill="1"/>
    <xf numFmtId="0" fontId="19" fillId="4" borderId="0" xfId="0" applyFont="1" applyFill="1"/>
    <xf numFmtId="0" fontId="21" fillId="4" borderId="0" xfId="0" applyFont="1" applyFill="1"/>
    <xf numFmtId="0" fontId="21" fillId="14" borderId="0" xfId="0" applyFont="1" applyFill="1" applyAlignment="1">
      <alignment vertical="center"/>
    </xf>
    <xf numFmtId="0" fontId="21" fillId="7" borderId="0" xfId="0" applyFont="1" applyFill="1" applyAlignment="1">
      <alignment wrapText="1"/>
    </xf>
    <xf numFmtId="0" fontId="21" fillId="14" borderId="0" xfId="0" applyFont="1" applyFill="1"/>
    <xf numFmtId="0" fontId="22" fillId="14" borderId="0" xfId="0" applyFont="1" applyFill="1"/>
    <xf numFmtId="0" fontId="22" fillId="4" borderId="0" xfId="0" applyFont="1" applyFill="1"/>
    <xf numFmtId="0" fontId="21" fillId="7" borderId="0" xfId="0" applyFont="1" applyFill="1"/>
    <xf numFmtId="0" fontId="21" fillId="7" borderId="8" xfId="0" applyFont="1" applyFill="1" applyBorder="1"/>
    <xf numFmtId="0" fontId="21" fillId="7" borderId="27" xfId="0" applyFont="1" applyFill="1" applyBorder="1"/>
    <xf numFmtId="0" fontId="20" fillId="4" borderId="0" xfId="0" applyFont="1" applyFill="1"/>
    <xf numFmtId="0" fontId="20" fillId="14" borderId="0" xfId="0" applyFont="1" applyFill="1"/>
    <xf numFmtId="0" fontId="19" fillId="7" borderId="0" xfId="0" applyFont="1" applyFill="1" applyAlignment="1">
      <alignment wrapText="1"/>
    </xf>
    <xf numFmtId="0" fontId="20" fillId="7" borderId="0" xfId="0" applyFont="1" applyFill="1" applyAlignment="1">
      <alignment wrapText="1"/>
    </xf>
    <xf numFmtId="0" fontId="20" fillId="7" borderId="0" xfId="0" applyFont="1" applyFill="1"/>
    <xf numFmtId="0" fontId="21" fillId="15" borderId="15" xfId="0" applyFont="1" applyFill="1" applyBorder="1"/>
    <xf numFmtId="169" fontId="21" fillId="16" borderId="16" xfId="0" applyNumberFormat="1" applyFont="1" applyFill="1" applyBorder="1"/>
    <xf numFmtId="0" fontId="21" fillId="4" borderId="15" xfId="0" applyFont="1" applyFill="1" applyBorder="1"/>
    <xf numFmtId="169" fontId="19" fillId="14" borderId="0" xfId="0" applyNumberFormat="1" applyFont="1" applyFill="1"/>
    <xf numFmtId="6" fontId="19" fillId="14" borderId="0" xfId="0" applyNumberFormat="1" applyFont="1" applyFill="1"/>
    <xf numFmtId="0" fontId="19" fillId="7" borderId="0" xfId="0" applyFont="1" applyFill="1"/>
    <xf numFmtId="0" fontId="21" fillId="16" borderId="15" xfId="0" applyFont="1" applyFill="1" applyBorder="1" applyAlignment="1">
      <alignment horizontal="left" indent="2"/>
    </xf>
    <xf numFmtId="14" fontId="21" fillId="16" borderId="16" xfId="0" applyNumberFormat="1" applyFont="1" applyFill="1" applyBorder="1"/>
    <xf numFmtId="0" fontId="21" fillId="4" borderId="15" xfId="0" applyFont="1" applyFill="1" applyBorder="1" applyAlignment="1">
      <alignment horizontal="left" indent="2"/>
    </xf>
    <xf numFmtId="14" fontId="19" fillId="14" borderId="0" xfId="0" applyNumberFormat="1" applyFont="1" applyFill="1"/>
    <xf numFmtId="0" fontId="21" fillId="16" borderId="15" xfId="0" applyFont="1" applyFill="1" applyBorder="1" applyAlignment="1">
      <alignment horizontal="left"/>
    </xf>
    <xf numFmtId="169" fontId="21" fillId="16" borderId="16" xfId="2" applyNumberFormat="1" applyFont="1" applyFill="1" applyBorder="1"/>
    <xf numFmtId="0" fontId="21" fillId="4" borderId="15" xfId="0" applyFont="1" applyFill="1" applyBorder="1" applyAlignment="1">
      <alignment horizontal="left"/>
    </xf>
    <xf numFmtId="14" fontId="21" fillId="16" borderId="16" xfId="2" applyNumberFormat="1" applyFont="1" applyFill="1" applyBorder="1"/>
    <xf numFmtId="0" fontId="21" fillId="16" borderId="15" xfId="0" applyFont="1" applyFill="1" applyBorder="1"/>
    <xf numFmtId="170" fontId="19" fillId="14" borderId="0" xfId="0" applyNumberFormat="1" applyFont="1" applyFill="1"/>
    <xf numFmtId="0" fontId="21" fillId="16" borderId="13" xfId="0" applyFont="1" applyFill="1" applyBorder="1"/>
    <xf numFmtId="169" fontId="21" fillId="16" borderId="14" xfId="0" applyNumberFormat="1" applyFont="1" applyFill="1" applyBorder="1"/>
    <xf numFmtId="0" fontId="21" fillId="4" borderId="13" xfId="0" applyFont="1" applyFill="1" applyBorder="1"/>
    <xf numFmtId="0" fontId="19" fillId="7" borderId="11" xfId="0" applyFont="1" applyFill="1" applyBorder="1"/>
    <xf numFmtId="0" fontId="19" fillId="7" borderId="6" xfId="0" applyFont="1" applyFill="1" applyBorder="1"/>
    <xf numFmtId="1" fontId="19" fillId="7" borderId="6" xfId="0" applyNumberFormat="1" applyFont="1" applyFill="1" applyBorder="1"/>
    <xf numFmtId="2" fontId="19" fillId="7" borderId="6" xfId="0" applyNumberFormat="1" applyFont="1" applyFill="1" applyBorder="1"/>
    <xf numFmtId="0" fontId="19" fillId="7" borderId="36" xfId="0" applyFont="1" applyFill="1" applyBorder="1"/>
    <xf numFmtId="164" fontId="19" fillId="7" borderId="25" xfId="0" applyNumberFormat="1" applyFont="1" applyFill="1" applyBorder="1"/>
    <xf numFmtId="0" fontId="23" fillId="4" borderId="0" xfId="0" applyFont="1" applyFill="1"/>
    <xf numFmtId="0" fontId="19" fillId="7" borderId="8" xfId="0" applyFont="1" applyFill="1" applyBorder="1"/>
    <xf numFmtId="9" fontId="19" fillId="7" borderId="27" xfId="0" applyNumberFormat="1" applyFont="1" applyFill="1" applyBorder="1"/>
    <xf numFmtId="0" fontId="19" fillId="7" borderId="7" xfId="0" applyFont="1" applyFill="1" applyBorder="1"/>
    <xf numFmtId="9" fontId="19" fillId="7" borderId="30" xfId="0" applyNumberFormat="1" applyFont="1" applyFill="1" applyBorder="1"/>
    <xf numFmtId="164" fontId="19" fillId="7" borderId="30" xfId="0" applyNumberFormat="1" applyFont="1" applyFill="1" applyBorder="1"/>
    <xf numFmtId="0" fontId="19" fillId="4" borderId="11" xfId="0" applyFont="1" applyFill="1" applyBorder="1"/>
    <xf numFmtId="0" fontId="19" fillId="0" borderId="0" xfId="0" applyFont="1"/>
    <xf numFmtId="0" fontId="21" fillId="16" borderId="35" xfId="0" applyFont="1" applyFill="1" applyBorder="1"/>
    <xf numFmtId="0" fontId="21" fillId="4" borderId="35" xfId="0" applyFont="1" applyFill="1" applyBorder="1"/>
    <xf numFmtId="169" fontId="19" fillId="14" borderId="9" xfId="0" applyNumberFormat="1" applyFont="1" applyFill="1" applyBorder="1"/>
    <xf numFmtId="169" fontId="19" fillId="14" borderId="30" xfId="0" applyNumberFormat="1" applyFont="1" applyFill="1" applyBorder="1"/>
    <xf numFmtId="0" fontId="21" fillId="4" borderId="18" xfId="0" applyFont="1" applyFill="1" applyBorder="1"/>
    <xf numFmtId="0" fontId="21" fillId="4" borderId="41" xfId="0" applyFont="1" applyFill="1" applyBorder="1"/>
    <xf numFmtId="169" fontId="21" fillId="16" borderId="9" xfId="0" applyNumberFormat="1" applyFont="1" applyFill="1" applyBorder="1"/>
    <xf numFmtId="169" fontId="21" fillId="16" borderId="30" xfId="0" applyNumberFormat="1" applyFont="1" applyFill="1" applyBorder="1"/>
    <xf numFmtId="0" fontId="19" fillId="4" borderId="32" xfId="0" applyFont="1" applyFill="1" applyBorder="1"/>
    <xf numFmtId="164" fontId="19" fillId="4" borderId="34" xfId="1" applyNumberFormat="1" applyFont="1" applyFill="1" applyBorder="1"/>
    <xf numFmtId="9" fontId="19" fillId="4" borderId="0" xfId="1" applyFont="1" applyFill="1"/>
    <xf numFmtId="0" fontId="25" fillId="4" borderId="0" xfId="0" applyFont="1" applyFill="1"/>
    <xf numFmtId="0" fontId="26" fillId="7" borderId="38" xfId="0" applyFont="1" applyFill="1" applyBorder="1"/>
    <xf numFmtId="0" fontId="27" fillId="4" borderId="36" xfId="0" applyFont="1" applyFill="1" applyBorder="1" applyAlignment="1">
      <alignment horizontal="center"/>
    </xf>
    <xf numFmtId="0" fontId="27" fillId="4" borderId="24" xfId="0" applyFont="1" applyFill="1" applyBorder="1" applyAlignment="1">
      <alignment horizontal="center"/>
    </xf>
    <xf numFmtId="0" fontId="25" fillId="7" borderId="10" xfId="0" applyFont="1" applyFill="1" applyBorder="1"/>
    <xf numFmtId="164" fontId="25" fillId="7" borderId="43" xfId="0" applyNumberFormat="1" applyFont="1" applyFill="1" applyBorder="1" applyAlignment="1">
      <alignment horizontal="center"/>
    </xf>
    <xf numFmtId="164" fontId="25" fillId="4" borderId="44" xfId="0" applyNumberFormat="1" applyFont="1" applyFill="1" applyBorder="1"/>
    <xf numFmtId="0" fontId="25" fillId="7" borderId="8" xfId="0" applyFont="1" applyFill="1" applyBorder="1"/>
    <xf numFmtId="164" fontId="25" fillId="7" borderId="45" xfId="0" applyNumberFormat="1" applyFont="1" applyFill="1" applyBorder="1" applyAlignment="1">
      <alignment horizontal="center"/>
    </xf>
    <xf numFmtId="164" fontId="25" fillId="4" borderId="0" xfId="0" applyNumberFormat="1" applyFont="1" applyFill="1"/>
    <xf numFmtId="0" fontId="25" fillId="7" borderId="7" xfId="0" applyFont="1" applyFill="1" applyBorder="1"/>
    <xf numFmtId="164" fontId="25" fillId="7" borderId="46" xfId="0" applyNumberFormat="1" applyFont="1" applyFill="1" applyBorder="1" applyAlignment="1">
      <alignment horizontal="center"/>
    </xf>
    <xf numFmtId="164" fontId="25" fillId="4" borderId="47" xfId="0" applyNumberFormat="1" applyFont="1" applyFill="1" applyBorder="1"/>
    <xf numFmtId="0" fontId="26" fillId="5" borderId="36" xfId="0" applyFont="1" applyFill="1" applyBorder="1"/>
    <xf numFmtId="0" fontId="27" fillId="4" borderId="48" xfId="0" applyFont="1" applyFill="1" applyBorder="1" applyAlignment="1">
      <alignment horizontal="center"/>
    </xf>
    <xf numFmtId="0" fontId="25" fillId="7" borderId="13" xfId="0" applyFont="1" applyFill="1" applyBorder="1"/>
    <xf numFmtId="164" fontId="25" fillId="7" borderId="49" xfId="0" applyNumberFormat="1" applyFont="1" applyFill="1" applyBorder="1" applyAlignment="1">
      <alignment horizontal="center"/>
    </xf>
    <xf numFmtId="164" fontId="25" fillId="4" borderId="0" xfId="1" applyNumberFormat="1" applyFont="1" applyFill="1" applyBorder="1"/>
    <xf numFmtId="0" fontId="26" fillId="5" borderId="15" xfId="0" applyFont="1" applyFill="1" applyBorder="1"/>
    <xf numFmtId="9" fontId="25" fillId="4" borderId="0" xfId="0" applyNumberFormat="1" applyFont="1" applyFill="1" applyAlignment="1">
      <alignment horizontal="center" vertical="center"/>
    </xf>
    <xf numFmtId="9" fontId="25" fillId="4" borderId="0" xfId="1" applyFont="1" applyFill="1" applyBorder="1" applyAlignment="1">
      <alignment horizontal="center"/>
    </xf>
    <xf numFmtId="0" fontId="26" fillId="5" borderId="50" xfId="0" applyFont="1" applyFill="1" applyBorder="1"/>
    <xf numFmtId="0" fontId="25" fillId="4" borderId="27" xfId="0" applyFont="1" applyFill="1" applyBorder="1"/>
    <xf numFmtId="0" fontId="29" fillId="4" borderId="7" xfId="0" applyFont="1" applyFill="1" applyBorder="1"/>
    <xf numFmtId="0" fontId="29" fillId="4" borderId="6" xfId="0" applyFont="1" applyFill="1" applyBorder="1"/>
    <xf numFmtId="0" fontId="29" fillId="4" borderId="0" xfId="0" applyFont="1" applyFill="1"/>
    <xf numFmtId="0" fontId="29" fillId="4" borderId="30" xfId="0" applyFont="1" applyFill="1" applyBorder="1"/>
    <xf numFmtId="0" fontId="27" fillId="4" borderId="22" xfId="0" applyFont="1" applyFill="1" applyBorder="1" applyAlignment="1">
      <alignment horizontal="center"/>
    </xf>
    <xf numFmtId="164" fontId="25" fillId="7" borderId="51" xfId="0" applyNumberFormat="1" applyFont="1" applyFill="1" applyBorder="1" applyAlignment="1">
      <alignment horizontal="center"/>
    </xf>
    <xf numFmtId="164" fontId="25" fillId="7" borderId="0" xfId="0" applyNumberFormat="1" applyFont="1" applyFill="1" applyAlignment="1">
      <alignment horizontal="center"/>
    </xf>
    <xf numFmtId="0" fontId="25" fillId="7" borderId="0" xfId="0" applyFont="1" applyFill="1"/>
    <xf numFmtId="0" fontId="28" fillId="17" borderId="32" xfId="0" applyFont="1" applyFill="1" applyBorder="1" applyAlignment="1">
      <alignment horizontal="center"/>
    </xf>
    <xf numFmtId="0" fontId="28" fillId="17" borderId="33" xfId="0" applyFont="1" applyFill="1" applyBorder="1" applyAlignment="1">
      <alignment horizontal="center"/>
    </xf>
    <xf numFmtId="0" fontId="28" fillId="17" borderId="34" xfId="0" applyFont="1" applyFill="1" applyBorder="1" applyAlignment="1">
      <alignment horizontal="center"/>
    </xf>
    <xf numFmtId="164" fontId="25" fillId="7" borderId="33" xfId="0" applyNumberFormat="1" applyFont="1" applyFill="1" applyBorder="1" applyAlignment="1">
      <alignment horizontal="center"/>
    </xf>
    <xf numFmtId="164" fontId="25" fillId="4" borderId="33" xfId="0" applyNumberFormat="1" applyFont="1" applyFill="1" applyBorder="1"/>
    <xf numFmtId="164" fontId="25" fillId="4" borderId="34" xfId="0" applyNumberFormat="1" applyFont="1" applyFill="1" applyBorder="1"/>
    <xf numFmtId="0" fontId="25" fillId="7" borderId="12" xfId="0" applyFont="1" applyFill="1" applyBorder="1"/>
    <xf numFmtId="164" fontId="25" fillId="0" borderId="49" xfId="0" applyNumberFormat="1" applyFont="1" applyBorder="1" applyAlignment="1">
      <alignment horizontal="center"/>
    </xf>
    <xf numFmtId="164" fontId="25" fillId="20" borderId="49" xfId="0" applyNumberFormat="1" applyFont="1" applyFill="1" applyBorder="1" applyAlignment="1">
      <alignment horizontal="center"/>
    </xf>
    <xf numFmtId="0" fontId="27" fillId="19" borderId="22" xfId="0" applyFont="1" applyFill="1" applyBorder="1" applyAlignment="1">
      <alignment horizontal="center"/>
    </xf>
    <xf numFmtId="164" fontId="25" fillId="20" borderId="51" xfId="0" applyNumberFormat="1" applyFont="1" applyFill="1" applyBorder="1" applyAlignment="1">
      <alignment horizontal="center"/>
    </xf>
    <xf numFmtId="0" fontId="27" fillId="19" borderId="24" xfId="0" applyFont="1" applyFill="1" applyBorder="1" applyAlignment="1">
      <alignment horizontal="center"/>
    </xf>
    <xf numFmtId="0" fontId="27" fillId="0" borderId="24" xfId="0" applyFont="1" applyBorder="1" applyAlignment="1">
      <alignment horizontal="center"/>
    </xf>
    <xf numFmtId="164" fontId="25" fillId="19" borderId="49" xfId="0" applyNumberFormat="1" applyFont="1" applyFill="1" applyBorder="1" applyAlignment="1">
      <alignment horizontal="center"/>
    </xf>
    <xf numFmtId="164" fontId="25" fillId="6" borderId="49" xfId="0" applyNumberFormat="1" applyFont="1" applyFill="1" applyBorder="1" applyAlignment="1">
      <alignment horizontal="center"/>
    </xf>
    <xf numFmtId="164" fontId="25" fillId="3" borderId="49" xfId="0" applyNumberFormat="1" applyFont="1" applyFill="1" applyBorder="1" applyAlignment="1">
      <alignment horizontal="center"/>
    </xf>
    <xf numFmtId="164" fontId="27" fillId="4" borderId="36" xfId="0" applyNumberFormat="1" applyFont="1" applyFill="1" applyBorder="1" applyAlignment="1">
      <alignment horizontal="center"/>
    </xf>
    <xf numFmtId="0" fontId="25" fillId="4" borderId="7" xfId="0" applyFont="1" applyFill="1" applyBorder="1"/>
    <xf numFmtId="0" fontId="29" fillId="21" borderId="6" xfId="0" applyFont="1" applyFill="1" applyBorder="1"/>
    <xf numFmtId="0" fontId="27" fillId="4" borderId="10" xfId="0" applyFont="1" applyFill="1" applyBorder="1" applyAlignment="1">
      <alignment horizontal="center"/>
    </xf>
    <xf numFmtId="0" fontId="27" fillId="4" borderId="11" xfId="0" applyFont="1" applyFill="1" applyBorder="1" applyAlignment="1">
      <alignment horizontal="center"/>
    </xf>
    <xf numFmtId="0" fontId="27" fillId="4" borderId="9" xfId="0" applyFont="1" applyFill="1" applyBorder="1" applyAlignment="1">
      <alignment horizontal="center"/>
    </xf>
    <xf numFmtId="0" fontId="25" fillId="0" borderId="0" xfId="0" applyFont="1"/>
    <xf numFmtId="0" fontId="28" fillId="4" borderId="0" xfId="0" applyFont="1" applyFill="1" applyAlignment="1">
      <alignment horizontal="center"/>
    </xf>
    <xf numFmtId="0" fontId="26" fillId="14" borderId="38" xfId="0" applyFont="1" applyFill="1" applyBorder="1" applyAlignment="1">
      <alignment horizontal="center"/>
    </xf>
    <xf numFmtId="0" fontId="26" fillId="14" borderId="42" xfId="0" applyFont="1" applyFill="1" applyBorder="1" applyAlignment="1">
      <alignment horizontal="center"/>
    </xf>
    <xf numFmtId="0" fontId="28" fillId="0" borderId="0" xfId="0" applyFont="1" applyAlignment="1">
      <alignment horizontal="right" vertical="center"/>
    </xf>
    <xf numFmtId="0" fontId="25" fillId="0" borderId="41" xfId="0" applyFont="1" applyBorder="1" applyAlignment="1">
      <alignment horizontal="center"/>
    </xf>
    <xf numFmtId="0" fontId="25" fillId="0" borderId="53" xfId="0" applyFont="1" applyBorder="1" applyAlignment="1">
      <alignment horizontal="center"/>
    </xf>
    <xf numFmtId="0" fontId="25" fillId="0" borderId="54" xfId="0" applyFont="1" applyBorder="1" applyAlignment="1">
      <alignment horizontal="center"/>
    </xf>
    <xf numFmtId="0" fontId="28" fillId="0" borderId="0" xfId="0" applyFont="1" applyAlignment="1">
      <alignment horizontal="right"/>
    </xf>
    <xf numFmtId="2" fontId="25" fillId="0" borderId="8" xfId="0" applyNumberFormat="1" applyFont="1" applyBorder="1" applyAlignment="1">
      <alignment horizontal="center"/>
    </xf>
    <xf numFmtId="2" fontId="25" fillId="0" borderId="20" xfId="0" applyNumberFormat="1" applyFont="1" applyBorder="1" applyAlignment="1">
      <alignment horizontal="center"/>
    </xf>
    <xf numFmtId="164" fontId="25" fillId="0" borderId="27" xfId="1" applyNumberFormat="1" applyFont="1" applyFill="1" applyBorder="1" applyAlignment="1">
      <alignment horizontal="center"/>
    </xf>
    <xf numFmtId="0" fontId="25" fillId="0" borderId="26" xfId="0" applyFont="1" applyBorder="1" applyAlignment="1">
      <alignment horizontal="center"/>
    </xf>
    <xf numFmtId="2" fontId="25" fillId="0" borderId="55" xfId="0" applyNumberFormat="1" applyFont="1" applyBorder="1" applyAlignment="1">
      <alignment horizontal="center"/>
    </xf>
    <xf numFmtId="2" fontId="28" fillId="0" borderId="37" xfId="0" applyNumberFormat="1" applyFont="1" applyBorder="1" applyAlignment="1">
      <alignment horizontal="center"/>
    </xf>
    <xf numFmtId="2" fontId="28" fillId="0" borderId="40" xfId="0" applyNumberFormat="1" applyFont="1" applyBorder="1" applyAlignment="1">
      <alignment horizontal="center"/>
    </xf>
    <xf numFmtId="2" fontId="25" fillId="0" borderId="28" xfId="0" applyNumberFormat="1" applyFont="1" applyBorder="1" applyAlignment="1">
      <alignment horizontal="center"/>
    </xf>
    <xf numFmtId="2" fontId="25" fillId="0" borderId="56" xfId="0" applyNumberFormat="1" applyFont="1" applyBorder="1" applyAlignment="1">
      <alignment horizontal="center"/>
    </xf>
    <xf numFmtId="164" fontId="25" fillId="0" borderId="57" xfId="1" applyNumberFormat="1" applyFont="1" applyFill="1" applyBorder="1" applyAlignment="1">
      <alignment horizontal="center"/>
    </xf>
    <xf numFmtId="0" fontId="28" fillId="0" borderId="0" xfId="0" applyFont="1"/>
    <xf numFmtId="14" fontId="30" fillId="0" borderId="0" xfId="0" applyNumberFormat="1" applyFont="1" applyAlignment="1">
      <alignment horizontal="right"/>
    </xf>
    <xf numFmtId="0" fontId="32" fillId="0" borderId="0" xfId="0" applyFont="1"/>
    <xf numFmtId="2" fontId="33" fillId="0" borderId="37" xfId="0" applyNumberFormat="1" applyFont="1" applyBorder="1" applyAlignment="1">
      <alignment horizontal="center"/>
    </xf>
    <xf numFmtId="0" fontId="32" fillId="0" borderId="0" xfId="0" applyFont="1" applyAlignment="1">
      <alignment horizontal="left"/>
    </xf>
    <xf numFmtId="0" fontId="20" fillId="4" borderId="8" xfId="0" applyFont="1" applyFill="1" applyBorder="1" applyAlignment="1">
      <alignment vertical="center"/>
    </xf>
    <xf numFmtId="0" fontId="20" fillId="4" borderId="27" xfId="0" applyFont="1" applyFill="1" applyBorder="1" applyAlignment="1">
      <alignment horizontal="right" indent="1"/>
    </xf>
    <xf numFmtId="0" fontId="19" fillId="17" borderId="8" xfId="0" applyFont="1" applyFill="1" applyBorder="1" applyAlignment="1">
      <alignment vertical="center"/>
    </xf>
    <xf numFmtId="0" fontId="19" fillId="17" borderId="0" xfId="0" applyFont="1" applyFill="1"/>
    <xf numFmtId="8" fontId="19" fillId="17" borderId="27" xfId="0" applyNumberFormat="1" applyFont="1" applyFill="1" applyBorder="1"/>
    <xf numFmtId="0" fontId="19" fillId="4" borderId="8" xfId="0" applyFont="1" applyFill="1" applyBorder="1" applyAlignment="1">
      <alignment vertical="center"/>
    </xf>
    <xf numFmtId="181" fontId="19" fillId="4" borderId="27" xfId="0" applyNumberFormat="1" applyFont="1" applyFill="1" applyBorder="1" applyAlignment="1">
      <alignment horizontal="right"/>
    </xf>
    <xf numFmtId="166" fontId="28" fillId="0" borderId="0" xfId="0" applyNumberFormat="1" applyFont="1" applyAlignment="1">
      <alignment horizontal="center"/>
    </xf>
    <xf numFmtId="2" fontId="33" fillId="0" borderId="40" xfId="0" applyNumberFormat="1" applyFont="1" applyBorder="1" applyAlignment="1">
      <alignment horizontal="center"/>
    </xf>
    <xf numFmtId="0" fontId="19" fillId="17" borderId="7" xfId="0" applyFont="1" applyFill="1" applyBorder="1" applyAlignment="1">
      <alignment vertical="center"/>
    </xf>
    <xf numFmtId="0" fontId="19" fillId="17" borderId="6" xfId="0" applyFont="1" applyFill="1" applyBorder="1"/>
    <xf numFmtId="0" fontId="25" fillId="0" borderId="0" xfId="0" applyFont="1" applyAlignment="1">
      <alignment horizontal="right"/>
    </xf>
    <xf numFmtId="8" fontId="25" fillId="0" borderId="0" xfId="0" applyNumberFormat="1" applyFont="1"/>
    <xf numFmtId="0" fontId="26" fillId="14" borderId="49" xfId="0" applyFont="1" applyFill="1" applyBorder="1" applyAlignment="1">
      <alignment horizontal="center"/>
    </xf>
    <xf numFmtId="0" fontId="20" fillId="4" borderId="0" xfId="0" applyFont="1" applyFill="1" applyAlignment="1">
      <alignment horizontal="right"/>
    </xf>
    <xf numFmtId="2" fontId="25" fillId="0" borderId="53" xfId="0" applyNumberFormat="1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25" fillId="0" borderId="28" xfId="0" applyFont="1" applyBorder="1" applyAlignment="1">
      <alignment horizontal="center"/>
    </xf>
    <xf numFmtId="0" fontId="25" fillId="0" borderId="56" xfId="0" applyFont="1" applyBorder="1" applyAlignment="1">
      <alignment horizontal="center"/>
    </xf>
    <xf numFmtId="2" fontId="25" fillId="0" borderId="7" xfId="0" applyNumberFormat="1" applyFont="1" applyBorder="1" applyAlignment="1">
      <alignment horizontal="center"/>
    </xf>
    <xf numFmtId="164" fontId="25" fillId="0" borderId="30" xfId="1" applyNumberFormat="1" applyFont="1" applyFill="1" applyBorder="1" applyAlignment="1">
      <alignment horizontal="center"/>
    </xf>
    <xf numFmtId="0" fontId="20" fillId="4" borderId="10" xfId="0" applyFont="1" applyFill="1" applyBorder="1"/>
    <xf numFmtId="0" fontId="20" fillId="4" borderId="11" xfId="0" applyFont="1" applyFill="1" applyBorder="1" applyAlignment="1">
      <alignment horizontal="right"/>
    </xf>
    <xf numFmtId="0" fontId="20" fillId="4" borderId="9" xfId="0" applyFont="1" applyFill="1" applyBorder="1" applyAlignment="1">
      <alignment horizontal="right"/>
    </xf>
    <xf numFmtId="0" fontId="19" fillId="17" borderId="8" xfId="0" applyFont="1" applyFill="1" applyBorder="1"/>
    <xf numFmtId="6" fontId="19" fillId="17" borderId="0" xfId="0" applyNumberFormat="1" applyFont="1" applyFill="1"/>
    <xf numFmtId="6" fontId="19" fillId="17" borderId="27" xfId="0" applyNumberFormat="1" applyFont="1" applyFill="1" applyBorder="1"/>
    <xf numFmtId="0" fontId="19" fillId="4" borderId="8" xfId="0" applyFont="1" applyFill="1" applyBorder="1"/>
    <xf numFmtId="181" fontId="19" fillId="4" borderId="0" xfId="0" applyNumberFormat="1" applyFont="1" applyFill="1" applyAlignment="1">
      <alignment horizontal="right"/>
    </xf>
    <xf numFmtId="6" fontId="19" fillId="4" borderId="0" xfId="0" applyNumberFormat="1" applyFont="1" applyFill="1"/>
    <xf numFmtId="6" fontId="19" fillId="4" borderId="27" xfId="0" applyNumberFormat="1" applyFont="1" applyFill="1" applyBorder="1"/>
    <xf numFmtId="0" fontId="25" fillId="0" borderId="8" xfId="0" applyFont="1" applyBorder="1" applyAlignment="1">
      <alignment vertical="center"/>
    </xf>
    <xf numFmtId="182" fontId="19" fillId="4" borderId="27" xfId="0" applyNumberFormat="1" applyFont="1" applyFill="1" applyBorder="1"/>
    <xf numFmtId="0" fontId="19" fillId="4" borderId="26" xfId="0" applyFont="1" applyFill="1" applyBorder="1"/>
    <xf numFmtId="165" fontId="19" fillId="4" borderId="0" xfId="0" applyNumberFormat="1" applyFont="1" applyFill="1"/>
    <xf numFmtId="165" fontId="19" fillId="4" borderId="27" xfId="0" applyNumberFormat="1" applyFont="1" applyFill="1" applyBorder="1"/>
    <xf numFmtId="0" fontId="19" fillId="17" borderId="7" xfId="0" applyFont="1" applyFill="1" applyBorder="1"/>
    <xf numFmtId="171" fontId="19" fillId="17" borderId="6" xfId="0" applyNumberFormat="1" applyFont="1" applyFill="1" applyBorder="1"/>
    <xf numFmtId="169" fontId="19" fillId="3" borderId="9" xfId="0" applyNumberFormat="1" applyFont="1" applyFill="1" applyBorder="1"/>
    <xf numFmtId="169" fontId="19" fillId="3" borderId="30" xfId="0" applyNumberFormat="1" applyFont="1" applyFill="1" applyBorder="1"/>
    <xf numFmtId="0" fontId="0" fillId="21" borderId="6" xfId="0" applyFill="1" applyBorder="1"/>
    <xf numFmtId="0" fontId="29" fillId="21" borderId="52" xfId="0" applyFont="1" applyFill="1" applyBorder="1"/>
    <xf numFmtId="164" fontId="25" fillId="6" borderId="51" xfId="0" applyNumberFormat="1" applyFont="1" applyFill="1" applyBorder="1" applyAlignment="1">
      <alignment horizontal="center"/>
    </xf>
    <xf numFmtId="0" fontId="28" fillId="18" borderId="37" xfId="0" applyFont="1" applyFill="1" applyBorder="1" applyAlignment="1">
      <alignment horizontal="center"/>
    </xf>
    <xf numFmtId="2" fontId="28" fillId="18" borderId="37" xfId="0" applyNumberFormat="1" applyFont="1" applyFill="1" applyBorder="1" applyAlignment="1">
      <alignment horizontal="center"/>
    </xf>
    <xf numFmtId="2" fontId="28" fillId="18" borderId="40" xfId="0" applyNumberFormat="1" applyFont="1" applyFill="1" applyBorder="1" applyAlignment="1">
      <alignment horizontal="center"/>
    </xf>
    <xf numFmtId="0" fontId="26" fillId="14" borderId="18" xfId="0" applyFont="1" applyFill="1" applyBorder="1" applyAlignment="1">
      <alignment horizontal="center"/>
    </xf>
    <xf numFmtId="0" fontId="26" fillId="14" borderId="17" xfId="0" applyFont="1" applyFill="1" applyBorder="1" applyAlignment="1">
      <alignment horizontal="center"/>
    </xf>
    <xf numFmtId="0" fontId="26" fillId="14" borderId="32" xfId="0" applyFont="1" applyFill="1" applyBorder="1" applyAlignment="1">
      <alignment horizontal="center"/>
    </xf>
    <xf numFmtId="0" fontId="26" fillId="14" borderId="34" xfId="0" applyFont="1" applyFill="1" applyBorder="1" applyAlignment="1">
      <alignment horizontal="center"/>
    </xf>
    <xf numFmtId="0" fontId="28" fillId="0" borderId="0" xfId="0" applyFont="1" applyAlignment="1">
      <alignment horizontal="left"/>
    </xf>
    <xf numFmtId="0" fontId="28" fillId="0" borderId="0" xfId="0" applyFont="1" applyAlignment="1">
      <alignment horizontal="left" vertical="center"/>
    </xf>
    <xf numFmtId="164" fontId="25" fillId="4" borderId="49" xfId="0" applyNumberFormat="1" applyFont="1" applyFill="1" applyBorder="1" applyAlignment="1">
      <alignment horizontal="center"/>
    </xf>
    <xf numFmtId="0" fontId="10" fillId="4" borderId="8" xfId="0" applyFont="1" applyFill="1" applyBorder="1"/>
    <xf numFmtId="0" fontId="10" fillId="4" borderId="27" xfId="0" applyFont="1" applyFill="1" applyBorder="1"/>
    <xf numFmtId="0" fontId="11" fillId="22" borderId="8" xfId="0" applyFont="1" applyFill="1" applyBorder="1"/>
    <xf numFmtId="0" fontId="10" fillId="4" borderId="8" xfId="0" applyFont="1" applyFill="1" applyBorder="1" applyAlignment="1">
      <alignment horizontal="right"/>
    </xf>
    <xf numFmtId="0" fontId="10" fillId="4" borderId="8" xfId="0" applyFont="1" applyFill="1" applyBorder="1" applyAlignment="1">
      <alignment horizontal="left"/>
    </xf>
    <xf numFmtId="0" fontId="11" fillId="22" borderId="8" xfId="0" applyFont="1" applyFill="1" applyBorder="1" applyAlignment="1">
      <alignment horizontal="left"/>
    </xf>
    <xf numFmtId="0" fontId="8" fillId="4" borderId="8" xfId="0" applyFont="1" applyFill="1" applyBorder="1" applyAlignment="1">
      <alignment horizontal="left"/>
    </xf>
    <xf numFmtId="164" fontId="8" fillId="4" borderId="27" xfId="0" applyNumberFormat="1" applyFont="1" applyFill="1" applyBorder="1"/>
    <xf numFmtId="0" fontId="12" fillId="22" borderId="8" xfId="0" applyFont="1" applyFill="1" applyBorder="1" applyAlignment="1">
      <alignment horizontal="left"/>
    </xf>
    <xf numFmtId="0" fontId="8" fillId="4" borderId="27" xfId="0" applyFont="1" applyFill="1" applyBorder="1"/>
    <xf numFmtId="0" fontId="8" fillId="4" borderId="8" xfId="0" applyFont="1" applyFill="1" applyBorder="1" applyAlignment="1">
      <alignment horizontal="right"/>
    </xf>
    <xf numFmtId="164" fontId="8" fillId="4" borderId="6" xfId="0" applyNumberFormat="1" applyFont="1" applyFill="1" applyBorder="1"/>
    <xf numFmtId="0" fontId="34" fillId="11" borderId="10" xfId="0" applyFont="1" applyFill="1" applyBorder="1"/>
    <xf numFmtId="0" fontId="7" fillId="11" borderId="9" xfId="0" applyFont="1" applyFill="1" applyBorder="1"/>
    <xf numFmtId="0" fontId="7" fillId="11" borderId="10" xfId="0" applyFont="1" applyFill="1" applyBorder="1"/>
    <xf numFmtId="167" fontId="10" fillId="22" borderId="27" xfId="2" applyNumberFormat="1" applyFont="1" applyFill="1" applyBorder="1"/>
    <xf numFmtId="164" fontId="8" fillId="4" borderId="0" xfId="0" applyNumberFormat="1" applyFont="1" applyFill="1"/>
    <xf numFmtId="167" fontId="10" fillId="22" borderId="0" xfId="2" applyNumberFormat="1" applyFont="1" applyFill="1" applyBorder="1"/>
    <xf numFmtId="0" fontId="36" fillId="4" borderId="0" xfId="0" applyFont="1" applyFill="1"/>
    <xf numFmtId="0" fontId="18" fillId="4" borderId="0" xfId="0" applyFont="1" applyFill="1"/>
    <xf numFmtId="0" fontId="37" fillId="4" borderId="0" xfId="0" applyFont="1" applyFill="1"/>
    <xf numFmtId="0" fontId="38" fillId="0" borderId="0" xfId="0" applyFont="1" applyAlignment="1">
      <alignment horizontal="right"/>
    </xf>
    <xf numFmtId="0" fontId="39" fillId="0" borderId="0" xfId="0" applyFont="1"/>
    <xf numFmtId="164" fontId="25" fillId="23" borderId="27" xfId="1" applyNumberFormat="1" applyFont="1" applyFill="1" applyBorder="1" applyAlignment="1">
      <alignment horizontal="center"/>
    </xf>
    <xf numFmtId="8" fontId="20" fillId="17" borderId="30" xfId="0" applyNumberFormat="1" applyFont="1" applyFill="1" applyBorder="1"/>
    <xf numFmtId="0" fontId="3" fillId="4" borderId="0" xfId="0" applyFont="1" applyFill="1"/>
    <xf numFmtId="0" fontId="25" fillId="0" borderId="27" xfId="0" applyFont="1" applyBorder="1" applyAlignment="1">
      <alignment horizontal="center"/>
    </xf>
    <xf numFmtId="0" fontId="25" fillId="0" borderId="30" xfId="0" applyFont="1" applyBorder="1" applyAlignment="1">
      <alignment horizontal="center"/>
    </xf>
    <xf numFmtId="171" fontId="20" fillId="17" borderId="30" xfId="0" applyNumberFormat="1" applyFont="1" applyFill="1" applyBorder="1"/>
    <xf numFmtId="0" fontId="6" fillId="10" borderId="0" xfId="0" applyFont="1" applyFill="1"/>
    <xf numFmtId="0" fontId="41" fillId="4" borderId="0" xfId="0" applyFont="1" applyFill="1"/>
    <xf numFmtId="0" fontId="0" fillId="0" borderId="11" xfId="0" applyBorder="1"/>
    <xf numFmtId="0" fontId="19" fillId="0" borderId="8" xfId="0" applyFont="1" applyBorder="1"/>
    <xf numFmtId="0" fontId="0" fillId="0" borderId="8" xfId="0" applyBorder="1"/>
    <xf numFmtId="0" fontId="0" fillId="0" borderId="6" xfId="0" applyBorder="1"/>
    <xf numFmtId="0" fontId="20" fillId="0" borderId="10" xfId="0" applyFont="1" applyBorder="1"/>
    <xf numFmtId="0" fontId="20" fillId="0" borderId="8" xfId="0" applyFont="1" applyBorder="1"/>
    <xf numFmtId="0" fontId="19" fillId="0" borderId="11" xfId="0" applyFont="1" applyBorder="1"/>
    <xf numFmtId="8" fontId="19" fillId="0" borderId="0" xfId="0" applyNumberFormat="1" applyFont="1"/>
    <xf numFmtId="0" fontId="19" fillId="0" borderId="27" xfId="0" applyFont="1" applyBorder="1"/>
    <xf numFmtId="0" fontId="20" fillId="0" borderId="0" xfId="0" applyFont="1"/>
    <xf numFmtId="44" fontId="19" fillId="0" borderId="0" xfId="2" applyFont="1" applyBorder="1"/>
    <xf numFmtId="0" fontId="20" fillId="0" borderId="7" xfId="0" applyFont="1" applyBorder="1"/>
    <xf numFmtId="9" fontId="19" fillId="0" borderId="0" xfId="1" applyFont="1"/>
    <xf numFmtId="2" fontId="25" fillId="0" borderId="26" xfId="0" applyNumberFormat="1" applyFont="1" applyBorder="1" applyAlignment="1">
      <alignment horizontal="center"/>
    </xf>
    <xf numFmtId="2" fontId="25" fillId="0" borderId="52" xfId="0" applyNumberFormat="1" applyFont="1" applyBorder="1" applyAlignment="1">
      <alignment horizontal="center"/>
    </xf>
    <xf numFmtId="2" fontId="25" fillId="0" borderId="30" xfId="0" applyNumberFormat="1" applyFont="1" applyBorder="1" applyAlignment="1">
      <alignment horizontal="center"/>
    </xf>
    <xf numFmtId="0" fontId="26" fillId="3" borderId="31" xfId="0" applyFont="1" applyFill="1" applyBorder="1" applyAlignment="1">
      <alignment horizontal="center"/>
    </xf>
    <xf numFmtId="0" fontId="20" fillId="3" borderId="39" xfId="0" applyFont="1" applyFill="1" applyBorder="1" applyAlignment="1">
      <alignment horizontal="center"/>
    </xf>
    <xf numFmtId="2" fontId="20" fillId="3" borderId="37" xfId="0" applyNumberFormat="1" applyFont="1" applyFill="1" applyBorder="1" applyAlignment="1">
      <alignment horizontal="center"/>
    </xf>
    <xf numFmtId="2" fontId="20" fillId="3" borderId="40" xfId="0" applyNumberFormat="1" applyFont="1" applyFill="1" applyBorder="1" applyAlignment="1">
      <alignment horizontal="center"/>
    </xf>
    <xf numFmtId="0" fontId="12" fillId="4" borderId="0" xfId="0" applyFont="1" applyFill="1"/>
    <xf numFmtId="0" fontId="12" fillId="4" borderId="0" xfId="0" applyFont="1" applyFill="1" applyAlignment="1">
      <alignment horizontal="left"/>
    </xf>
    <xf numFmtId="164" fontId="10" fillId="4" borderId="27" xfId="0" applyNumberFormat="1" applyFont="1" applyFill="1" applyBorder="1"/>
    <xf numFmtId="164" fontId="25" fillId="0" borderId="51" xfId="0" applyNumberFormat="1" applyFont="1" applyBorder="1" applyAlignment="1">
      <alignment horizontal="center"/>
    </xf>
    <xf numFmtId="0" fontId="27" fillId="24" borderId="24" xfId="0" applyFont="1" applyFill="1" applyBorder="1" applyAlignment="1">
      <alignment horizontal="center"/>
    </xf>
    <xf numFmtId="164" fontId="25" fillId="25" borderId="49" xfId="0" applyNumberFormat="1" applyFont="1" applyFill="1" applyBorder="1" applyAlignment="1">
      <alignment horizontal="center"/>
    </xf>
    <xf numFmtId="9" fontId="19" fillId="0" borderId="0" xfId="2" applyNumberFormat="1" applyFont="1" applyBorder="1"/>
    <xf numFmtId="0" fontId="42" fillId="10" borderId="10" xfId="0" applyFont="1" applyFill="1" applyBorder="1"/>
    <xf numFmtId="0" fontId="40" fillId="10" borderId="11" xfId="0" applyFont="1" applyFill="1" applyBorder="1"/>
    <xf numFmtId="0" fontId="40" fillId="10" borderId="9" xfId="0" applyFont="1" applyFill="1" applyBorder="1"/>
    <xf numFmtId="10" fontId="19" fillId="0" borderId="27" xfId="1" applyNumberFormat="1" applyFont="1" applyBorder="1"/>
    <xf numFmtId="181" fontId="19" fillId="0" borderId="27" xfId="0" applyNumberFormat="1" applyFont="1" applyBorder="1" applyAlignment="1">
      <alignment horizontal="right"/>
    </xf>
    <xf numFmtId="0" fontId="20" fillId="0" borderId="27" xfId="0" applyFont="1" applyBorder="1" applyAlignment="1">
      <alignment horizontal="right"/>
    </xf>
    <xf numFmtId="6" fontId="19" fillId="0" borderId="27" xfId="0" applyNumberFormat="1" applyFont="1" applyBorder="1" applyAlignment="1">
      <alignment horizontal="right"/>
    </xf>
    <xf numFmtId="182" fontId="19" fillId="0" borderId="27" xfId="0" applyNumberFormat="1" applyFont="1" applyBorder="1" applyAlignment="1">
      <alignment horizontal="right"/>
    </xf>
    <xf numFmtId="165" fontId="19" fillId="0" borderId="27" xfId="0" applyNumberFormat="1" applyFont="1" applyBorder="1" applyAlignment="1">
      <alignment horizontal="right"/>
    </xf>
    <xf numFmtId="171" fontId="20" fillId="0" borderId="34" xfId="0" applyNumberFormat="1" applyFont="1" applyBorder="1" applyAlignment="1">
      <alignment horizontal="center"/>
    </xf>
    <xf numFmtId="2" fontId="13" fillId="4" borderId="0" xfId="0" applyNumberFormat="1" applyFont="1" applyFill="1"/>
    <xf numFmtId="44" fontId="42" fillId="19" borderId="6" xfId="0" applyNumberFormat="1" applyFont="1" applyFill="1" applyBorder="1"/>
    <xf numFmtId="9" fontId="42" fillId="19" borderId="6" xfId="0" applyNumberFormat="1" applyFont="1" applyFill="1" applyBorder="1"/>
    <xf numFmtId="9" fontId="42" fillId="19" borderId="30" xfId="0" applyNumberFormat="1" applyFont="1" applyFill="1" applyBorder="1"/>
    <xf numFmtId="2" fontId="25" fillId="0" borderId="57" xfId="0" applyNumberFormat="1" applyFont="1" applyBorder="1" applyAlignment="1">
      <alignment horizontal="center"/>
    </xf>
    <xf numFmtId="183" fontId="13" fillId="4" borderId="0" xfId="0" applyNumberFormat="1" applyFont="1" applyFill="1"/>
    <xf numFmtId="184" fontId="13" fillId="4" borderId="0" xfId="0" applyNumberFormat="1" applyFont="1" applyFill="1"/>
    <xf numFmtId="0" fontId="0" fillId="0" borderId="41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4" xfId="0" applyBorder="1" applyAlignment="1">
      <alignment horizontal="center"/>
    </xf>
    <xf numFmtId="171" fontId="7" fillId="12" borderId="23" xfId="0" applyNumberFormat="1" applyFont="1" applyFill="1" applyBorder="1" applyAlignment="1">
      <alignment horizontal="right"/>
    </xf>
    <xf numFmtId="9" fontId="0" fillId="0" borderId="0" xfId="1" applyFont="1"/>
    <xf numFmtId="10" fontId="20" fillId="0" borderId="0" xfId="1" applyNumberFormat="1" applyFont="1"/>
    <xf numFmtId="0" fontId="19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10" fontId="20" fillId="0" borderId="0" xfId="1" applyNumberFormat="1" applyFont="1" applyAlignment="1">
      <alignment horizont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171" fontId="19" fillId="0" borderId="0" xfId="2" applyNumberFormat="1" applyFont="1" applyAlignment="1">
      <alignment horizontal="center"/>
    </xf>
    <xf numFmtId="0" fontId="20" fillId="0" borderId="0" xfId="0" applyFont="1" applyAlignment="1">
      <alignment horizontal="center"/>
    </xf>
    <xf numFmtId="3" fontId="0" fillId="0" borderId="0" xfId="0" applyNumberFormat="1"/>
    <xf numFmtId="169" fontId="19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9" fontId="19" fillId="0" borderId="0" xfId="2" applyNumberFormat="1" applyFont="1" applyAlignment="1">
      <alignment horizontal="center"/>
    </xf>
    <xf numFmtId="10" fontId="2" fillId="0" borderId="0" xfId="1" applyNumberFormat="1" applyFont="1" applyAlignment="1">
      <alignment horizontal="center"/>
    </xf>
    <xf numFmtId="185" fontId="19" fillId="0" borderId="0" xfId="0" applyNumberFormat="1" applyFont="1" applyAlignment="1">
      <alignment horizontal="center"/>
    </xf>
    <xf numFmtId="179" fontId="8" fillId="26" borderId="0" xfId="0" applyNumberFormat="1" applyFont="1" applyFill="1" applyAlignment="1">
      <alignment horizontal="right"/>
    </xf>
    <xf numFmtId="9" fontId="19" fillId="0" borderId="0" xfId="0" applyNumberFormat="1" applyFont="1"/>
    <xf numFmtId="168" fontId="19" fillId="0" borderId="0" xfId="2" applyNumberFormat="1" applyFont="1"/>
    <xf numFmtId="0" fontId="19" fillId="18" borderId="10" xfId="0" applyFont="1" applyFill="1" applyBorder="1"/>
    <xf numFmtId="0" fontId="19" fillId="18" borderId="11" xfId="0" applyFont="1" applyFill="1" applyBorder="1"/>
    <xf numFmtId="0" fontId="19" fillId="18" borderId="9" xfId="0" applyFont="1" applyFill="1" applyBorder="1"/>
    <xf numFmtId="171" fontId="19" fillId="0" borderId="0" xfId="0" applyNumberFormat="1" applyFont="1" applyAlignment="1">
      <alignment horizontal="center"/>
    </xf>
    <xf numFmtId="9" fontId="19" fillId="0" borderId="27" xfId="0" applyNumberFormat="1" applyFont="1" applyBorder="1" applyAlignment="1">
      <alignment horizontal="center"/>
    </xf>
    <xf numFmtId="0" fontId="19" fillId="0" borderId="32" xfId="0" applyFont="1" applyBorder="1"/>
    <xf numFmtId="0" fontId="19" fillId="0" borderId="33" xfId="0" applyFont="1" applyBorder="1"/>
    <xf numFmtId="169" fontId="19" fillId="0" borderId="0" xfId="2" applyNumberFormat="1" applyFont="1"/>
    <xf numFmtId="0" fontId="26" fillId="14" borderId="13" xfId="0" applyFont="1" applyFill="1" applyBorder="1" applyAlignment="1">
      <alignment horizontal="center"/>
    </xf>
    <xf numFmtId="0" fontId="26" fillId="14" borderId="59" xfId="0" applyFont="1" applyFill="1" applyBorder="1" applyAlignment="1">
      <alignment horizontal="center"/>
    </xf>
    <xf numFmtId="0" fontId="26" fillId="14" borderId="14" xfId="0" applyFont="1" applyFill="1" applyBorder="1" applyAlignment="1">
      <alignment horizontal="center"/>
    </xf>
    <xf numFmtId="0" fontId="25" fillId="0" borderId="0" xfId="0" applyFont="1" applyAlignment="1">
      <alignment horizontal="centerContinuous"/>
    </xf>
    <xf numFmtId="0" fontId="20" fillId="23" borderId="32" xfId="0" applyFont="1" applyFill="1" applyBorder="1" applyAlignment="1">
      <alignment horizontal="centerContinuous"/>
    </xf>
    <xf numFmtId="0" fontId="20" fillId="23" borderId="34" xfId="0" applyFont="1" applyFill="1" applyBorder="1" applyAlignment="1">
      <alignment horizontal="centerContinuous"/>
    </xf>
    <xf numFmtId="0" fontId="20" fillId="0" borderId="10" xfId="0" applyFont="1" applyBorder="1" applyAlignment="1">
      <alignment horizontal="left"/>
    </xf>
    <xf numFmtId="0" fontId="19" fillId="0" borderId="8" xfId="0" applyFont="1" applyBorder="1" applyAlignment="1">
      <alignment horizontal="left"/>
    </xf>
    <xf numFmtId="14" fontId="26" fillId="21" borderId="31" xfId="0" applyNumberFormat="1" applyFont="1" applyFill="1" applyBorder="1" applyAlignment="1">
      <alignment horizontal="center"/>
    </xf>
    <xf numFmtId="14" fontId="31" fillId="21" borderId="31" xfId="0" applyNumberFormat="1" applyFont="1" applyFill="1" applyBorder="1" applyAlignment="1">
      <alignment horizontal="center"/>
    </xf>
    <xf numFmtId="0" fontId="19" fillId="17" borderId="8" xfId="0" applyFont="1" applyFill="1" applyBorder="1" applyAlignment="1">
      <alignment horizontal="left"/>
    </xf>
    <xf numFmtId="0" fontId="25" fillId="17" borderId="0" xfId="0" applyFont="1" applyFill="1" applyAlignment="1">
      <alignment horizontal="centerContinuous"/>
    </xf>
    <xf numFmtId="6" fontId="19" fillId="17" borderId="27" xfId="0" applyNumberFormat="1" applyFont="1" applyFill="1" applyBorder="1" applyAlignment="1">
      <alignment horizontal="right"/>
    </xf>
    <xf numFmtId="171" fontId="19" fillId="17" borderId="27" xfId="0" applyNumberFormat="1" applyFont="1" applyFill="1" applyBorder="1" applyAlignment="1">
      <alignment horizontal="right"/>
    </xf>
    <xf numFmtId="0" fontId="20" fillId="17" borderId="32" xfId="0" applyFont="1" applyFill="1" applyBorder="1" applyAlignment="1">
      <alignment horizontal="left"/>
    </xf>
    <xf numFmtId="0" fontId="25" fillId="17" borderId="33" xfId="0" applyFont="1" applyFill="1" applyBorder="1" applyAlignment="1">
      <alignment horizontal="centerContinuous"/>
    </xf>
    <xf numFmtId="171" fontId="20" fillId="17" borderId="34" xfId="0" applyNumberFormat="1" applyFont="1" applyFill="1" applyBorder="1" applyAlignment="1">
      <alignment horizontal="right"/>
    </xf>
    <xf numFmtId="7" fontId="19" fillId="17" borderId="27" xfId="0" applyNumberFormat="1" applyFont="1" applyFill="1" applyBorder="1"/>
    <xf numFmtId="0" fontId="7" fillId="11" borderId="11" xfId="0" applyFont="1" applyFill="1" applyBorder="1"/>
    <xf numFmtId="186" fontId="7" fillId="11" borderId="11" xfId="0" applyNumberFormat="1" applyFont="1" applyFill="1" applyBorder="1" applyAlignment="1">
      <alignment horizontal="center"/>
    </xf>
    <xf numFmtId="167" fontId="8" fillId="22" borderId="0" xfId="2" applyNumberFormat="1" applyFont="1" applyFill="1" applyBorder="1"/>
    <xf numFmtId="0" fontId="8" fillId="4" borderId="7" xfId="0" applyFont="1" applyFill="1" applyBorder="1" applyAlignment="1">
      <alignment horizontal="left"/>
    </xf>
    <xf numFmtId="164" fontId="8" fillId="4" borderId="30" xfId="0" applyNumberFormat="1" applyFont="1" applyFill="1" applyBorder="1"/>
    <xf numFmtId="186" fontId="7" fillId="11" borderId="19" xfId="0" applyNumberFormat="1" applyFont="1" applyFill="1" applyBorder="1" applyAlignment="1">
      <alignment horizontal="center"/>
    </xf>
    <xf numFmtId="187" fontId="7" fillId="11" borderId="0" xfId="0" applyNumberFormat="1" applyFont="1" applyFill="1" applyAlignment="1">
      <alignment horizontal="center"/>
    </xf>
    <xf numFmtId="0" fontId="35" fillId="22" borderId="27" xfId="2" applyNumberFormat="1" applyFont="1" applyFill="1" applyBorder="1"/>
    <xf numFmtId="0" fontId="45" fillId="27" borderId="0" xfId="0" applyFont="1" applyFill="1"/>
    <xf numFmtId="0" fontId="46" fillId="27" borderId="0" xfId="0" applyFont="1" applyFill="1" applyAlignment="1">
      <alignment horizontal="right"/>
    </xf>
    <xf numFmtId="0" fontId="46" fillId="27" borderId="3" xfId="0" applyFont="1" applyFill="1" applyBorder="1" applyAlignment="1">
      <alignment horizontal="right"/>
    </xf>
    <xf numFmtId="0" fontId="19" fillId="0" borderId="3" xfId="0" applyFont="1" applyBorder="1"/>
    <xf numFmtId="0" fontId="19" fillId="0" borderId="0" xfId="0" applyFont="1" applyAlignment="1">
      <alignment horizontal="left" indent="1"/>
    </xf>
    <xf numFmtId="188" fontId="19" fillId="0" borderId="0" xfId="0" applyNumberFormat="1" applyFont="1"/>
    <xf numFmtId="188" fontId="19" fillId="0" borderId="3" xfId="0" applyNumberFormat="1" applyFont="1" applyBorder="1"/>
    <xf numFmtId="164" fontId="19" fillId="0" borderId="0" xfId="1" applyNumberFormat="1" applyFont="1"/>
    <xf numFmtId="164" fontId="19" fillId="0" borderId="3" xfId="1" applyNumberFormat="1" applyFont="1" applyBorder="1"/>
    <xf numFmtId="0" fontId="20" fillId="0" borderId="24" xfId="0" applyFont="1" applyBorder="1"/>
    <xf numFmtId="188" fontId="19" fillId="0" borderId="24" xfId="0" applyNumberFormat="1" applyFont="1" applyBorder="1"/>
    <xf numFmtId="188" fontId="19" fillId="0" borderId="22" xfId="0" applyNumberFormat="1" applyFont="1" applyBorder="1"/>
    <xf numFmtId="166" fontId="19" fillId="0" borderId="0" xfId="0" applyNumberFormat="1" applyFont="1"/>
    <xf numFmtId="164" fontId="19" fillId="0" borderId="0" xfId="0" applyNumberFormat="1" applyFont="1"/>
    <xf numFmtId="164" fontId="19" fillId="0" borderId="3" xfId="0" applyNumberFormat="1" applyFont="1" applyBorder="1"/>
    <xf numFmtId="189" fontId="19" fillId="0" borderId="0" xfId="0" applyNumberFormat="1" applyFont="1"/>
    <xf numFmtId="189" fontId="19" fillId="26" borderId="0" xfId="0" applyNumberFormat="1" applyFont="1" applyFill="1"/>
    <xf numFmtId="0" fontId="19" fillId="26" borderId="0" xfId="0" applyFont="1" applyFill="1"/>
    <xf numFmtId="186" fontId="7" fillId="11" borderId="9" xfId="0" applyNumberFormat="1" applyFont="1" applyFill="1" applyBorder="1" applyAlignment="1">
      <alignment horizontal="center"/>
    </xf>
    <xf numFmtId="179" fontId="19" fillId="0" borderId="0" xfId="0" applyNumberFormat="1" applyFont="1"/>
    <xf numFmtId="0" fontId="20" fillId="0" borderId="4" xfId="0" applyFont="1" applyBorder="1"/>
    <xf numFmtId="0" fontId="19" fillId="0" borderId="4" xfId="0" applyFont="1" applyBorder="1"/>
    <xf numFmtId="0" fontId="13" fillId="0" borderId="0" xfId="0" applyFont="1"/>
    <xf numFmtId="0" fontId="8" fillId="0" borderId="0" xfId="0" applyFont="1"/>
    <xf numFmtId="2" fontId="8" fillId="0" borderId="0" xfId="0" applyNumberFormat="1" applyFont="1"/>
    <xf numFmtId="2" fontId="10" fillId="0" borderId="0" xfId="0" applyNumberFormat="1" applyFont="1"/>
    <xf numFmtId="187" fontId="46" fillId="27" borderId="24" xfId="0" applyNumberFormat="1" applyFont="1" applyFill="1" applyBorder="1" applyAlignment="1">
      <alignment horizontal="right"/>
    </xf>
    <xf numFmtId="0" fontId="6" fillId="10" borderId="0" xfId="0" applyFont="1" applyFill="1" applyAlignment="1">
      <alignment horizontal="left"/>
    </xf>
    <xf numFmtId="0" fontId="7" fillId="11" borderId="11" xfId="0" applyFont="1" applyFill="1" applyBorder="1" applyAlignment="1">
      <alignment horizontal="center"/>
    </xf>
    <xf numFmtId="0" fontId="35" fillId="10" borderId="11" xfId="0" applyFont="1" applyFill="1" applyBorder="1" applyAlignment="1">
      <alignment horizontal="center"/>
    </xf>
    <xf numFmtId="0" fontId="14" fillId="10" borderId="26" xfId="0" applyFont="1" applyFill="1" applyBorder="1" applyAlignment="1">
      <alignment horizontal="center" vertical="center"/>
    </xf>
    <xf numFmtId="0" fontId="14" fillId="10" borderId="28" xfId="0" applyFont="1" applyFill="1" applyBorder="1" applyAlignment="1">
      <alignment horizontal="center" vertical="center"/>
    </xf>
    <xf numFmtId="0" fontId="7" fillId="1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10" borderId="32" xfId="0" applyFont="1" applyFill="1" applyBorder="1" applyAlignment="1">
      <alignment horizontal="center"/>
    </xf>
    <xf numFmtId="0" fontId="9" fillId="10" borderId="33" xfId="0" applyFont="1" applyFill="1" applyBorder="1" applyAlignment="1">
      <alignment horizontal="center"/>
    </xf>
    <xf numFmtId="0" fontId="14" fillId="10" borderId="33" xfId="0" applyFont="1" applyFill="1" applyBorder="1" applyAlignment="1">
      <alignment horizontal="center"/>
    </xf>
    <xf numFmtId="0" fontId="14" fillId="10" borderId="34" xfId="0" applyFont="1" applyFill="1" applyBorder="1" applyAlignment="1">
      <alignment horizontal="center"/>
    </xf>
    <xf numFmtId="0" fontId="20" fillId="7" borderId="36" xfId="0" applyFont="1" applyFill="1" applyBorder="1" applyAlignment="1">
      <alignment horizontal="center"/>
    </xf>
    <xf numFmtId="0" fontId="20" fillId="7" borderId="25" xfId="0" applyFont="1" applyFill="1" applyBorder="1" applyAlignment="1">
      <alignment horizontal="center"/>
    </xf>
    <xf numFmtId="0" fontId="19" fillId="4" borderId="0" xfId="0" applyFont="1" applyFill="1" applyAlignment="1">
      <alignment horizontal="center"/>
    </xf>
    <xf numFmtId="0" fontId="23" fillId="4" borderId="37" xfId="0" applyFont="1" applyFill="1" applyBorder="1" applyAlignment="1">
      <alignment horizontal="center" vertical="center"/>
    </xf>
    <xf numFmtId="0" fontId="21" fillId="7" borderId="8" xfId="0" applyFont="1" applyFill="1" applyBorder="1" applyAlignment="1">
      <alignment horizontal="center" vertical="center"/>
    </xf>
    <xf numFmtId="0" fontId="21" fillId="7" borderId="27" xfId="0" applyFont="1" applyFill="1" applyBorder="1" applyAlignment="1">
      <alignment horizontal="center" vertical="center"/>
    </xf>
    <xf numFmtId="0" fontId="24" fillId="10" borderId="0" xfId="0" applyFont="1" applyFill="1" applyAlignment="1">
      <alignment horizontal="left"/>
    </xf>
    <xf numFmtId="0" fontId="28" fillId="17" borderId="38" xfId="0" applyFont="1" applyFill="1" applyBorder="1" applyAlignment="1">
      <alignment horizontal="left"/>
    </xf>
    <xf numFmtId="0" fontId="28" fillId="17" borderId="49" xfId="0" applyFont="1" applyFill="1" applyBorder="1" applyAlignment="1">
      <alignment horizontal="left"/>
    </xf>
    <xf numFmtId="0" fontId="28" fillId="17" borderId="42" xfId="0" applyFont="1" applyFill="1" applyBorder="1" applyAlignment="1">
      <alignment horizontal="left"/>
    </xf>
    <xf numFmtId="0" fontId="28" fillId="17" borderId="38" xfId="0" applyFont="1" applyFill="1" applyBorder="1" applyAlignment="1">
      <alignment horizontal="center"/>
    </xf>
    <xf numFmtId="0" fontId="28" fillId="17" borderId="31" xfId="0" applyFont="1" applyFill="1" applyBorder="1" applyAlignment="1">
      <alignment horizontal="center"/>
    </xf>
    <xf numFmtId="0" fontId="28" fillId="17" borderId="49" xfId="0" applyFont="1" applyFill="1" applyBorder="1" applyAlignment="1">
      <alignment horizontal="center"/>
    </xf>
    <xf numFmtId="0" fontId="28" fillId="17" borderId="42" xfId="0" applyFont="1" applyFill="1" applyBorder="1" applyAlignment="1">
      <alignment horizontal="center"/>
    </xf>
    <xf numFmtId="0" fontId="22" fillId="14" borderId="38" xfId="0" applyFont="1" applyFill="1" applyBorder="1" applyAlignment="1">
      <alignment horizontal="center"/>
    </xf>
    <xf numFmtId="0" fontId="22" fillId="14" borderId="49" xfId="0" applyFont="1" applyFill="1" applyBorder="1" applyAlignment="1">
      <alignment horizontal="center"/>
    </xf>
    <xf numFmtId="0" fontId="22" fillId="14" borderId="42" xfId="0" applyFont="1" applyFill="1" applyBorder="1" applyAlignment="1">
      <alignment horizontal="center"/>
    </xf>
    <xf numFmtId="0" fontId="22" fillId="21" borderId="38" xfId="0" applyFont="1" applyFill="1" applyBorder="1" applyAlignment="1">
      <alignment horizontal="center"/>
    </xf>
    <xf numFmtId="0" fontId="22" fillId="21" borderId="49" xfId="0" applyFont="1" applyFill="1" applyBorder="1" applyAlignment="1">
      <alignment horizontal="center"/>
    </xf>
    <xf numFmtId="0" fontId="22" fillId="21" borderId="31" xfId="0" applyFont="1" applyFill="1" applyBorder="1" applyAlignment="1">
      <alignment horizontal="center"/>
    </xf>
  </cellXfs>
  <cellStyles count="7">
    <cellStyle name="blp_datetime" xfId="3" xr:uid="{C5920885-40F8-4D93-9391-DB579EC322B3}"/>
    <cellStyle name="Currency" xfId="2" builtinId="4"/>
    <cellStyle name="Currency 2" xfId="4" xr:uid="{D9BE44BB-D947-495F-9070-141EF8D89FE9}"/>
    <cellStyle name="Normal" xfId="0" builtinId="0"/>
    <cellStyle name="Normal 2" xfId="5" xr:uid="{6619BBF1-93DC-4F4A-96DE-E900B52D6BAF}"/>
    <cellStyle name="Percent" xfId="1" builtinId="5"/>
    <cellStyle name="Percent 2" xfId="6" xr:uid="{45757965-5E75-4D4B-8C22-494FB8CA5D7D}"/>
  </cellStyles>
  <dxfs count="0"/>
  <tableStyles count="0" defaultTableStyle="TableStyleMedium2" defaultPivotStyle="PivotStyleLight16"/>
  <colors>
    <mruColors>
      <color rgb="FFFFFFCC"/>
      <color rgb="FFFFCC66"/>
      <color rgb="FFFF99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/>
            </a:soli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dLbl>
              <c:idx val="6"/>
              <c:tx>
                <c:rich>
                  <a:bodyPr/>
                  <a:lstStyle/>
                  <a:p>
                    <a:fld id="{3DB855A8-E960-43BB-BF4C-76F94FD0318E}" type="VALUE">
                      <a:rPr lang="en-US" baseline="0">
                        <a:solidFill>
                          <a:schemeClr val="tx1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646-4461-B034-B63AB4AD3D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'Target Price Calculation (2)'!$J$4:$P$4</c:f>
              <c:numCache>
                <c:formatCode>General</c:formatCode>
                <c:ptCount val="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</c:numCache>
            </c:numRef>
          </c:cat>
          <c:val>
            <c:numRef>
              <c:f>'Target Price Calculation (2)'!$J$5:$P$5</c:f>
              <c:numCache>
                <c:formatCode>_("$"* #,##0_);_("$"* \(#,##0\);_("$"* "-"??_);_(@_)</c:formatCode>
                <c:ptCount val="7"/>
                <c:pt idx="0">
                  <c:v>2633</c:v>
                </c:pt>
                <c:pt idx="1">
                  <c:v>3159.6</c:v>
                </c:pt>
                <c:pt idx="2">
                  <c:v>3728.3279999999995</c:v>
                </c:pt>
                <c:pt idx="3">
                  <c:v>4324.8604799999994</c:v>
                </c:pt>
                <c:pt idx="4">
                  <c:v>4973.5895519999985</c:v>
                </c:pt>
                <c:pt idx="5">
                  <c:v>5669.8920892799988</c:v>
                </c:pt>
                <c:pt idx="6">
                  <c:v>6406.9780608863985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46-4461-B034-B63AB4AD3DB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722688176"/>
        <c:axId val="722686256"/>
      </c:barChart>
      <c:catAx>
        <c:axId val="72268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722686256"/>
        <c:crosses val="autoZero"/>
        <c:auto val="1"/>
        <c:lblAlgn val="ctr"/>
        <c:lblOffset val="100"/>
        <c:noMultiLvlLbl val="0"/>
      </c:catAx>
      <c:valAx>
        <c:axId val="722686256"/>
        <c:scaling>
          <c:orientation val="minMax"/>
        </c:scaling>
        <c:delete val="1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72268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/>
            </a:soli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7"/>
            <c:invertIfNegative val="0"/>
            <c:bubble3D val="0"/>
            <c:spPr>
              <a:solidFill>
                <a:schemeClr val="bg2"/>
              </a:solidFill>
              <a:ln>
                <a:solidFill>
                  <a:schemeClr val="bg2"/>
                </a:solidFill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49-4A7B-A0B1-2269F5FD54B6}"/>
              </c:ext>
            </c:extLst>
          </c:dPt>
          <c:dLbls>
            <c:dLbl>
              <c:idx val="1"/>
              <c:layout>
                <c:manualLayout>
                  <c:x val="0"/>
                  <c:y val="8.978219100775396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cap="small" baseline="0">
                      <a:solidFill>
                        <a:srgbClr val="FF0000"/>
                      </a:solidFill>
                      <a:latin typeface="Times New Roman" panose="02020603050405020304" pitchFamily="18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49-4A7B-A0B1-2269F5FD54B6}"/>
                </c:ext>
              </c:extLst>
            </c:dLbl>
            <c:dLbl>
              <c:idx val="2"/>
              <c:layout>
                <c:manualLayout>
                  <c:x val="-2.7943193907063834E-3"/>
                  <c:y val="0.13460948220652702"/>
                </c:manualLayout>
              </c:layout>
              <c:tx>
                <c:rich>
                  <a:bodyPr/>
                  <a:lstStyle/>
                  <a:p>
                    <a:fld id="{C338CFF7-309C-484E-B26C-97192679ED11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C49-4A7B-A0B1-2269F5FD54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cap="small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'Target Price Calculation (2)'!$I$27:$T$27</c:f>
              <c:numCache>
                <c:formatCode>General</c:formatCod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numCache>
            </c:numRef>
          </c:cat>
          <c:val>
            <c:numRef>
              <c:f>'Target Price Calculation (2)'!$I$28:$T$28</c:f>
              <c:numCache>
                <c:formatCode>"$"#,##0</c:formatCode>
                <c:ptCount val="12"/>
                <c:pt idx="0">
                  <c:v>11.1</c:v>
                </c:pt>
                <c:pt idx="1">
                  <c:v>-5.3</c:v>
                </c:pt>
                <c:pt idx="2">
                  <c:v>-111.6</c:v>
                </c:pt>
                <c:pt idx="3">
                  <c:v>138.69999999999999</c:v>
                </c:pt>
                <c:pt idx="4">
                  <c:v>272.89999999999998</c:v>
                </c:pt>
                <c:pt idx="5">
                  <c:v>359.3</c:v>
                </c:pt>
                <c:pt idx="6">
                  <c:v>500.34688000000011</c:v>
                </c:pt>
                <c:pt idx="7">
                  <c:v>667.56160000000011</c:v>
                </c:pt>
                <c:pt idx="8">
                  <c:v>865.14559200000031</c:v>
                </c:pt>
                <c:pt idx="9">
                  <c:v>1100.1204033600004</c:v>
                </c:pt>
                <c:pt idx="10">
                  <c:v>1365.1022288904005</c:v>
                </c:pt>
                <c:pt idx="11">
                  <c:v>1615.7568625561448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9-4A7B-A0B1-2269F5FD54B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342970112"/>
        <c:axId val="342968672"/>
      </c:barChart>
      <c:catAx>
        <c:axId val="34297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342968672"/>
        <c:crosses val="autoZero"/>
        <c:auto val="1"/>
        <c:lblAlgn val="ctr"/>
        <c:lblOffset val="100"/>
        <c:noMultiLvlLbl val="0"/>
      </c:catAx>
      <c:valAx>
        <c:axId val="342968672"/>
        <c:scaling>
          <c:orientation val="minMax"/>
        </c:scaling>
        <c:delete val="1"/>
        <c:axPos val="l"/>
        <c:numFmt formatCode="&quot;$&quot;#,##0" sourceLinked="1"/>
        <c:majorTickMark val="none"/>
        <c:minorTickMark val="none"/>
        <c:tickLblPos val="nextTo"/>
        <c:crossAx val="342970112"/>
        <c:crosses val="autoZero"/>
        <c:crossBetween val="between"/>
      </c:valAx>
      <c:spPr>
        <a:noFill/>
        <a:ln>
          <a:solidFill>
            <a:schemeClr val="bg2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/>
            </a:solidFill>
            <a:ln w="38100">
              <a:solidFill>
                <a:schemeClr val="bg1"/>
              </a:solidFill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 w="381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EC16-4940-923C-99E75398E5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'Multiples Valuations'!$R$14:$R$18</c:f>
              <c:numCache>
                <c:formatCode>General</c:formatCode>
                <c:ptCount val="5"/>
              </c:numCache>
            </c:numRef>
          </c:cat>
          <c:val>
            <c:numRef>
              <c:f>'Multiples Valuations'!$S$14:$S$18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1D1F-40B6-9ED0-8106049991B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7"/>
        <c:axId val="263354960"/>
        <c:axId val="263355920"/>
      </c:barChart>
      <c:catAx>
        <c:axId val="2633549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63355920"/>
        <c:crosses val="autoZero"/>
        <c:auto val="1"/>
        <c:lblAlgn val="ctr"/>
        <c:lblOffset val="100"/>
        <c:noMultiLvlLbl val="0"/>
      </c:catAx>
      <c:valAx>
        <c:axId val="26335592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6335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263525</xdr:colOff>
      <xdr:row>6</xdr:row>
      <xdr:rowOff>87136</xdr:rowOff>
    </xdr:from>
    <xdr:to>
      <xdr:col>15</xdr:col>
      <xdr:colOff>604661</xdr:colOff>
      <xdr:row>21</xdr:row>
      <xdr:rowOff>61736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C79F6B-984A-4D45-8B43-857A218052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434430</xdr:colOff>
      <xdr:row>29</xdr:row>
      <xdr:rowOff>67514</xdr:rowOff>
    </xdr:from>
    <xdr:to>
      <xdr:col>15</xdr:col>
      <xdr:colOff>688218</xdr:colOff>
      <xdr:row>44</xdr:row>
      <xdr:rowOff>9237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FEB5CB0-F656-4A00-9712-4FDD197CA6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603306</xdr:colOff>
      <xdr:row>4</xdr:row>
      <xdr:rowOff>41155</xdr:rowOff>
    </xdr:from>
    <xdr:to>
      <xdr:col>26</xdr:col>
      <xdr:colOff>216970</xdr:colOff>
      <xdr:row>18</xdr:row>
      <xdr:rowOff>104472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90D27F7-6BCB-C03E-2AE2-994F878E26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ens\Desktop\SMIF%20DCF%20Models\GETTING%20ONON%20Model%20Ready%20to%20Submit%20on%20Shared%20Version.xlsx" TargetMode="External"/><Relationship Id="rId1" Type="http://schemas.openxmlformats.org/officeDocument/2006/relationships/externalLinkPath" Target="file:///C:\Users\evens\Desktop\SMIF%20DCF%20Models\GETTING%20ONON%20Model%20Ready%20to%20Submit%20on%20Shared%20Vers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storical Percentages "/>
      <sheetName val="Target Price Calculation"/>
      <sheetName val="Historicals"/>
      <sheetName val="H-Model - Conservative"/>
      <sheetName val="H-Model Realistic"/>
      <sheetName val="EBITDA Multiple Model"/>
      <sheetName val="EBIT Multiple Model "/>
      <sheetName val="Base Data"/>
      <sheetName val="Sort Summary"/>
      <sheetName val="Direct Valuation"/>
      <sheetName val="Indirect Valuation"/>
      <sheetName val="WACC Calculation"/>
    </sheetNames>
    <sheetDataSet>
      <sheetData sheetId="0" refreshError="1"/>
      <sheetData sheetId="1"/>
      <sheetData sheetId="2" refreshError="1"/>
      <sheetData sheetId="3">
        <row r="27">
          <cell r="L27">
            <v>73.607204980053737</v>
          </cell>
        </row>
      </sheetData>
      <sheetData sheetId="4">
        <row r="27">
          <cell r="L27">
            <v>100.22609674801987</v>
          </cell>
        </row>
      </sheetData>
      <sheetData sheetId="5">
        <row r="24">
          <cell r="L24">
            <v>84.50433288338057</v>
          </cell>
        </row>
      </sheetData>
      <sheetData sheetId="6">
        <row r="24">
          <cell r="L24">
            <v>74.035323039607263</v>
          </cell>
        </row>
      </sheetData>
      <sheetData sheetId="7" refreshError="1"/>
      <sheetData sheetId="8" refreshError="1"/>
      <sheetData sheetId="9">
        <row r="20">
          <cell r="K20">
            <v>46.673249999999996</v>
          </cell>
        </row>
      </sheetData>
      <sheetData sheetId="10">
        <row r="21">
          <cell r="F21">
            <v>24.200535776011062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T30"/>
  <sheetViews>
    <sheetView zoomScale="57" zoomScaleNormal="63" workbookViewId="0">
      <selection activeCell="K26" sqref="K26"/>
    </sheetView>
  </sheetViews>
  <sheetFormatPr defaultColWidth="8.85546875" defaultRowHeight="15"/>
  <cols>
    <col min="2" max="2" width="36.85546875" customWidth="1"/>
    <col min="3" max="5" width="9.42578125" bestFit="1" customWidth="1"/>
    <col min="6" max="8" width="10.140625" bestFit="1" customWidth="1"/>
    <col min="9" max="9" width="9.42578125" bestFit="1" customWidth="1"/>
  </cols>
  <sheetData>
    <row r="1" spans="2:20">
      <c r="C1" s="3"/>
      <c r="D1" s="3"/>
      <c r="E1" s="3"/>
      <c r="F1" s="3"/>
      <c r="G1" s="3"/>
      <c r="H1" s="3"/>
    </row>
    <row r="2" spans="2:20">
      <c r="B2" s="16" t="s">
        <v>0</v>
      </c>
      <c r="C2" s="8">
        <v>43373</v>
      </c>
      <c r="D2" s="8">
        <v>43738</v>
      </c>
      <c r="E2" s="8">
        <v>44104</v>
      </c>
      <c r="F2" s="8">
        <v>44469</v>
      </c>
      <c r="G2" s="8">
        <v>44834</v>
      </c>
      <c r="H2" s="8">
        <v>45199</v>
      </c>
    </row>
    <row r="3" spans="2:20" s="7" customFormat="1">
      <c r="B3" s="21" t="s">
        <v>1</v>
      </c>
      <c r="C3" s="12">
        <v>827.5</v>
      </c>
      <c r="D3" s="12">
        <v>854.4</v>
      </c>
      <c r="E3" s="12">
        <v>988.3</v>
      </c>
      <c r="F3" s="12">
        <v>1247.0999999999999</v>
      </c>
      <c r="G3" s="12">
        <v>1371.5</v>
      </c>
      <c r="H3" s="12">
        <v>1666.8</v>
      </c>
      <c r="J3" s="14" t="s">
        <v>2</v>
      </c>
    </row>
    <row r="4" spans="2:20">
      <c r="B4" s="22" t="s">
        <v>3</v>
      </c>
      <c r="C4" s="17"/>
      <c r="D4" s="18">
        <f>((D3/C3)-1)</f>
        <v>3.2507552870090661E-2</v>
      </c>
      <c r="E4" s="18">
        <f t="shared" ref="E4:G4" si="0">((E3/D3)-1)</f>
        <v>0.15671816479400746</v>
      </c>
      <c r="F4" s="18">
        <f t="shared" si="0"/>
        <v>0.26186380653647667</v>
      </c>
      <c r="G4" s="18">
        <f t="shared" si="0"/>
        <v>9.9751423302060882E-2</v>
      </c>
      <c r="H4" s="18">
        <f>((H3/G3)-1)</f>
        <v>0.21531170251549403</v>
      </c>
    </row>
    <row r="5" spans="2:20">
      <c r="B5" s="9"/>
      <c r="C5" s="10"/>
      <c r="D5" s="19"/>
      <c r="E5" s="19"/>
      <c r="F5" s="19"/>
      <c r="G5" s="19"/>
      <c r="H5" s="10"/>
    </row>
    <row r="6" spans="2:20" s="6" customFormat="1">
      <c r="B6" s="23" t="s">
        <v>4</v>
      </c>
      <c r="C6" s="11">
        <v>145.69999999999999</v>
      </c>
      <c r="D6" s="11">
        <v>187.8</v>
      </c>
      <c r="E6" s="11">
        <v>194.3</v>
      </c>
      <c r="F6" s="11">
        <v>211.5</v>
      </c>
      <c r="G6" s="11">
        <v>260.3</v>
      </c>
      <c r="H6" s="11">
        <v>324.39999999999998</v>
      </c>
      <c r="J6" s="24" t="s">
        <v>5</v>
      </c>
    </row>
    <row r="7" spans="2:20">
      <c r="B7" s="22" t="s">
        <v>6</v>
      </c>
      <c r="C7" s="20">
        <f>C6/C3</f>
        <v>0.17607250755287007</v>
      </c>
      <c r="D7" s="20">
        <f t="shared" ref="D7:H7" si="1">D6/D3</f>
        <v>0.21980337078651688</v>
      </c>
      <c r="E7" s="20">
        <f t="shared" si="1"/>
        <v>0.19660022260447235</v>
      </c>
      <c r="F7" s="20">
        <f t="shared" si="1"/>
        <v>0.16959345681982199</v>
      </c>
      <c r="G7" s="20">
        <f t="shared" si="1"/>
        <v>0.18979219832300401</v>
      </c>
      <c r="H7" s="20">
        <f t="shared" si="1"/>
        <v>0.19462443004559635</v>
      </c>
    </row>
    <row r="8" spans="2:20">
      <c r="B8" s="9"/>
      <c r="C8" s="10"/>
      <c r="D8" s="10"/>
      <c r="E8" s="10"/>
      <c r="F8" s="10"/>
      <c r="G8" s="10"/>
      <c r="H8" s="10"/>
    </row>
    <row r="9" spans="2:20">
      <c r="B9" s="9" t="s">
        <v>7</v>
      </c>
      <c r="C9" s="10">
        <v>25.9</v>
      </c>
      <c r="D9" s="10">
        <v>25.3</v>
      </c>
      <c r="E9" s="10">
        <v>25.3</v>
      </c>
      <c r="F9" s="10">
        <v>53.7</v>
      </c>
      <c r="G9" s="10">
        <v>21.3</v>
      </c>
      <c r="H9" s="10">
        <v>28.3</v>
      </c>
      <c r="J9" s="2" t="s">
        <v>8</v>
      </c>
    </row>
    <row r="10" spans="2:20">
      <c r="B10" s="9"/>
      <c r="C10" s="10"/>
      <c r="D10" s="10"/>
      <c r="E10" s="10"/>
      <c r="F10" s="10"/>
      <c r="G10" s="10"/>
      <c r="H10" s="10"/>
    </row>
    <row r="11" spans="2:20" s="6" customFormat="1">
      <c r="B11" s="23" t="s">
        <v>9</v>
      </c>
      <c r="C11" s="13">
        <f>C6-C9</f>
        <v>119.79999999999998</v>
      </c>
      <c r="D11" s="13">
        <f>D6-D9</f>
        <v>162.5</v>
      </c>
      <c r="E11" s="13">
        <f>E6-E9</f>
        <v>169</v>
      </c>
      <c r="F11" s="13">
        <f t="shared" ref="F11:H11" si="2">F6-F9</f>
        <v>157.80000000000001</v>
      </c>
      <c r="G11" s="13">
        <f t="shared" si="2"/>
        <v>239</v>
      </c>
      <c r="H11" s="13">
        <f t="shared" si="2"/>
        <v>296.09999999999997</v>
      </c>
    </row>
    <row r="12" spans="2:20">
      <c r="B12" s="22" t="s">
        <v>10</v>
      </c>
      <c r="C12" s="20">
        <f>C11/C3</f>
        <v>0.14477341389728093</v>
      </c>
      <c r="D12" s="20">
        <f t="shared" ref="D12:H12" si="3">D11/D3</f>
        <v>0.19019194756554308</v>
      </c>
      <c r="E12" s="20">
        <f t="shared" si="3"/>
        <v>0.1710007082869574</v>
      </c>
      <c r="F12" s="20">
        <f t="shared" si="3"/>
        <v>0.12653355785422182</v>
      </c>
      <c r="G12" s="20">
        <f t="shared" si="3"/>
        <v>0.17426175720014583</v>
      </c>
      <c r="H12" s="20">
        <f t="shared" si="3"/>
        <v>0.17764578833693304</v>
      </c>
    </row>
    <row r="13" spans="2:20">
      <c r="B13" s="9"/>
      <c r="C13" s="10"/>
      <c r="D13" s="10"/>
      <c r="E13" s="10"/>
      <c r="F13" s="10"/>
      <c r="G13" s="10"/>
      <c r="H13" s="10"/>
      <c r="R13" s="4"/>
    </row>
    <row r="14" spans="2:20" s="6" customFormat="1">
      <c r="B14" s="23" t="s">
        <v>11</v>
      </c>
      <c r="C14" s="11">
        <v>23.7</v>
      </c>
      <c r="D14" s="11">
        <v>39.4</v>
      </c>
      <c r="E14" s="11">
        <v>9.1999999999999993</v>
      </c>
      <c r="F14" s="11">
        <v>23.7</v>
      </c>
      <c r="G14" s="11">
        <v>29.6</v>
      </c>
      <c r="H14" s="11">
        <v>59.4</v>
      </c>
      <c r="J14" s="24" t="s">
        <v>12</v>
      </c>
      <c r="R14" s="15"/>
      <c r="T14" s="15"/>
    </row>
    <row r="15" spans="2:20">
      <c r="B15" s="22" t="s">
        <v>13</v>
      </c>
      <c r="C15" s="20">
        <f>C14/C11</f>
        <v>0.19782971619365611</v>
      </c>
      <c r="D15" s="20">
        <f t="shared" ref="D15:H15" si="4">D14/D11</f>
        <v>0.24246153846153845</v>
      </c>
      <c r="E15" s="20">
        <f t="shared" si="4"/>
        <v>5.4437869822485205E-2</v>
      </c>
      <c r="F15" s="20">
        <f t="shared" si="4"/>
        <v>0.15019011406844104</v>
      </c>
      <c r="G15" s="20">
        <f t="shared" si="4"/>
        <v>0.12384937238493725</v>
      </c>
      <c r="H15" s="20">
        <f t="shared" si="4"/>
        <v>0.20060790273556234</v>
      </c>
      <c r="J15" s="2" t="s">
        <v>14</v>
      </c>
      <c r="R15" s="6"/>
      <c r="T15" s="6"/>
    </row>
    <row r="16" spans="2:20">
      <c r="B16" s="9"/>
      <c r="C16" s="10"/>
      <c r="D16" s="10"/>
      <c r="E16" s="10"/>
      <c r="F16" s="10"/>
      <c r="G16" s="10"/>
      <c r="H16" s="10"/>
      <c r="R16" s="7"/>
      <c r="T16" s="7"/>
    </row>
    <row r="17" spans="2:20" s="6" customFormat="1">
      <c r="B17" s="23" t="s">
        <v>15</v>
      </c>
      <c r="C17" s="13">
        <f>C11-C14</f>
        <v>96.09999999999998</v>
      </c>
      <c r="D17" s="13">
        <f t="shared" ref="D17:H17" si="5">D11-D14</f>
        <v>123.1</v>
      </c>
      <c r="E17" s="13">
        <f t="shared" si="5"/>
        <v>159.80000000000001</v>
      </c>
      <c r="F17" s="13">
        <f t="shared" si="5"/>
        <v>134.10000000000002</v>
      </c>
      <c r="G17" s="13">
        <f t="shared" si="5"/>
        <v>209.4</v>
      </c>
      <c r="H17" s="13">
        <f t="shared" si="5"/>
        <v>236.69999999999996</v>
      </c>
    </row>
    <row r="18" spans="2:20">
      <c r="B18" s="9"/>
      <c r="C18" s="10"/>
      <c r="D18" s="10"/>
      <c r="E18" s="10"/>
      <c r="F18" s="10"/>
      <c r="G18" s="10"/>
      <c r="H18" s="10"/>
      <c r="R18" s="6"/>
      <c r="T18" s="6"/>
    </row>
    <row r="19" spans="2:20" s="6" customFormat="1">
      <c r="B19" s="23" t="s">
        <v>16</v>
      </c>
      <c r="C19" s="13">
        <f>C9</f>
        <v>25.9</v>
      </c>
      <c r="D19" s="13">
        <f t="shared" ref="D19:H19" si="6">D9</f>
        <v>25.3</v>
      </c>
      <c r="E19" s="13">
        <f>E9</f>
        <v>25.3</v>
      </c>
      <c r="F19" s="13">
        <f>F9</f>
        <v>53.7</v>
      </c>
      <c r="G19" s="13">
        <f>G9</f>
        <v>21.3</v>
      </c>
      <c r="H19" s="13">
        <f t="shared" si="6"/>
        <v>28.3</v>
      </c>
    </row>
    <row r="20" spans="2:20">
      <c r="B20" s="22" t="s">
        <v>17</v>
      </c>
      <c r="C20" s="20">
        <f t="shared" ref="C20:H20" si="7">C9/C3</f>
        <v>3.1299093655589125E-2</v>
      </c>
      <c r="D20" s="20">
        <f t="shared" si="7"/>
        <v>2.9611423220973786E-2</v>
      </c>
      <c r="E20" s="20">
        <f t="shared" si="7"/>
        <v>2.5599514317514928E-2</v>
      </c>
      <c r="F20" s="20">
        <f t="shared" si="7"/>
        <v>4.3059898965600196E-2</v>
      </c>
      <c r="G20" s="20">
        <f t="shared" si="7"/>
        <v>1.5530441122858184E-2</v>
      </c>
      <c r="H20" s="20">
        <f t="shared" si="7"/>
        <v>1.6978641708663308E-2</v>
      </c>
      <c r="J20" s="1"/>
      <c r="K20" s="1"/>
      <c r="R20" s="5"/>
      <c r="T20" s="6"/>
    </row>
    <row r="21" spans="2:20">
      <c r="B21" s="9"/>
      <c r="C21" s="10"/>
      <c r="D21" s="10"/>
      <c r="E21" s="10"/>
      <c r="F21" s="10"/>
      <c r="G21" s="10"/>
      <c r="H21" s="10"/>
      <c r="J21" s="1"/>
      <c r="T21" s="6"/>
    </row>
    <row r="22" spans="2:20" s="6" customFormat="1">
      <c r="B22" s="23" t="s">
        <v>18</v>
      </c>
      <c r="C22" s="11">
        <v>-5</v>
      </c>
      <c r="D22" s="11">
        <v>-3.2</v>
      </c>
      <c r="E22" s="11">
        <v>-2.1</v>
      </c>
      <c r="F22" s="11">
        <v>-1.6</v>
      </c>
      <c r="G22" s="11">
        <v>-1.8</v>
      </c>
      <c r="H22" s="11">
        <v>-1.8</v>
      </c>
    </row>
    <row r="23" spans="2:20">
      <c r="B23" s="22" t="s">
        <v>19</v>
      </c>
      <c r="C23" s="20">
        <f t="shared" ref="C23:H23" si="8">C22/C3</f>
        <v>-6.0422960725075529E-3</v>
      </c>
      <c r="D23" s="20">
        <f t="shared" si="8"/>
        <v>-3.7453183520599256E-3</v>
      </c>
      <c r="E23" s="20">
        <f t="shared" si="8"/>
        <v>-2.1248608722047964E-3</v>
      </c>
      <c r="F23" s="20">
        <f t="shared" si="8"/>
        <v>-1.2829765054927433E-3</v>
      </c>
      <c r="G23" s="20">
        <f t="shared" si="8"/>
        <v>-1.3124316441851986E-3</v>
      </c>
      <c r="H23" s="20">
        <f t="shared" si="8"/>
        <v>-1.0799136069114472E-3</v>
      </c>
    </row>
    <row r="24" spans="2:20">
      <c r="B24" s="9"/>
      <c r="C24" s="10"/>
      <c r="D24" s="10"/>
      <c r="E24" s="10"/>
      <c r="F24" s="10"/>
      <c r="G24" s="10"/>
      <c r="H24" s="10"/>
      <c r="I24" s="6"/>
    </row>
    <row r="25" spans="2:20" s="6" customFormat="1">
      <c r="B25" s="23" t="s">
        <v>20</v>
      </c>
      <c r="C25" s="11">
        <v>22.5</v>
      </c>
      <c r="D25" s="11">
        <v>-64.2</v>
      </c>
      <c r="E25" s="11">
        <v>-38</v>
      </c>
      <c r="F25" s="11">
        <v>47.8</v>
      </c>
      <c r="G25" s="11">
        <v>-143.19999999999999</v>
      </c>
      <c r="H25" s="11">
        <v>14.2</v>
      </c>
      <c r="J25" s="6" t="s">
        <v>21</v>
      </c>
    </row>
    <row r="26" spans="2:20">
      <c r="B26" s="22" t="s">
        <v>22</v>
      </c>
      <c r="C26" s="20">
        <f t="shared" ref="C26:H26" si="9">C25/C3</f>
        <v>2.7190332326283987E-2</v>
      </c>
      <c r="D26" s="20">
        <f t="shared" si="9"/>
        <v>-7.514044943820225E-2</v>
      </c>
      <c r="E26" s="20">
        <f t="shared" si="9"/>
        <v>-3.8449863401801072E-2</v>
      </c>
      <c r="F26" s="20">
        <f t="shared" si="9"/>
        <v>3.8328923101595705E-2</v>
      </c>
      <c r="G26" s="20">
        <f t="shared" si="9"/>
        <v>-0.10441122858184469</v>
      </c>
      <c r="H26" s="20">
        <f t="shared" si="9"/>
        <v>8.5193184545236372E-3</v>
      </c>
      <c r="I26" s="1"/>
      <c r="J26" s="1" t="s">
        <v>23</v>
      </c>
      <c r="K26" s="1">
        <f>AVERAGE(C26:H26)</f>
        <v>-2.3993827923240781E-2</v>
      </c>
    </row>
    <row r="27" spans="2:20">
      <c r="B27" s="9"/>
      <c r="C27" s="10"/>
      <c r="D27" s="10"/>
      <c r="E27" s="10"/>
      <c r="F27" s="10"/>
      <c r="G27" s="10"/>
      <c r="H27" s="10"/>
    </row>
    <row r="28" spans="2:20">
      <c r="B28" s="9"/>
      <c r="C28" s="10"/>
      <c r="D28" s="10"/>
      <c r="E28" s="10"/>
      <c r="F28" s="10"/>
      <c r="G28" s="10"/>
      <c r="H28" s="10"/>
    </row>
    <row r="29" spans="2:20" s="6" customFormat="1">
      <c r="B29" s="23" t="s">
        <v>24</v>
      </c>
      <c r="C29" s="11"/>
      <c r="D29" s="11"/>
      <c r="E29" s="11">
        <v>2.5</v>
      </c>
      <c r="F29" s="11">
        <v>4.5999999999999996</v>
      </c>
      <c r="G29" s="11">
        <v>9.8000000000000007</v>
      </c>
      <c r="H29" s="11">
        <v>14.2</v>
      </c>
      <c r="J29" s="6" t="s">
        <v>25</v>
      </c>
    </row>
    <row r="30" spans="2:20">
      <c r="B30" s="22" t="s">
        <v>26</v>
      </c>
      <c r="C30" s="17">
        <f t="shared" ref="C30:H30" si="10">C29/C3</f>
        <v>0</v>
      </c>
      <c r="D30" s="17">
        <f t="shared" si="10"/>
        <v>0</v>
      </c>
      <c r="E30" s="17">
        <f t="shared" si="10"/>
        <v>2.5295962764342811E-3</v>
      </c>
      <c r="F30" s="17">
        <f t="shared" si="10"/>
        <v>3.6885574532916367E-3</v>
      </c>
      <c r="G30" s="17">
        <f t="shared" si="10"/>
        <v>7.1454611738971932E-3</v>
      </c>
      <c r="H30" s="17">
        <f t="shared" si="10"/>
        <v>8.5193184545236372E-3</v>
      </c>
    </row>
  </sheetData>
  <printOptions headings="1" gridLines="1"/>
  <pageMargins left="0.25" right="0.25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49C9E-B5D5-4F54-87C4-7DFCF6F388E2}">
  <sheetPr>
    <tabColor rgb="FF00B0F0"/>
  </sheetPr>
  <dimension ref="B1:P53"/>
  <sheetViews>
    <sheetView zoomScale="85" zoomScaleNormal="85" workbookViewId="0">
      <selection activeCell="R38" sqref="R38"/>
    </sheetView>
  </sheetViews>
  <sheetFormatPr defaultColWidth="10" defaultRowHeight="15"/>
  <cols>
    <col min="1" max="1" width="10" style="25"/>
    <col min="2" max="2" width="19.140625" style="25" customWidth="1"/>
    <col min="3" max="16384" width="10" style="25"/>
  </cols>
  <sheetData>
    <row r="1" spans="2:16" ht="45">
      <c r="B1" s="462" t="s">
        <v>185</v>
      </c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</row>
    <row r="2" spans="2:16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</row>
    <row r="3" spans="2:16" ht="15.75" thickBot="1">
      <c r="B3" s="156" t="s">
        <v>186</v>
      </c>
      <c r="C3" s="157" t="s">
        <v>143</v>
      </c>
      <c r="D3" s="158" t="str">
        <f>'Comps Data'!F4</f>
        <v>BIRK</v>
      </c>
      <c r="E3" s="158" t="str">
        <f>'Comps Data'!I4</f>
        <v>ADDYY</v>
      </c>
      <c r="F3" s="158" t="str">
        <f>'Comps Data'!L4</f>
        <v>PBYI</v>
      </c>
      <c r="G3" s="158" t="str">
        <f>'Comps Data'!O4</f>
        <v>ASCCY</v>
      </c>
      <c r="H3" s="158" t="str">
        <f>'Comps Data'!R4</f>
        <v>AS</v>
      </c>
      <c r="I3" s="158" t="str">
        <f>'Comps Data'!U4</f>
        <v>CROX</v>
      </c>
      <c r="J3" s="158" t="str">
        <f>'Comps Data'!X4</f>
        <v>DECK</v>
      </c>
      <c r="K3" s="158" t="str">
        <f>'Comps Data'!AA4</f>
        <v>SHOO</v>
      </c>
      <c r="L3" s="158" t="str">
        <f>'Comps Data'!AD4</f>
        <v>SKX</v>
      </c>
      <c r="M3" s="158" t="str">
        <f>'Comps Data'!AG4</f>
        <v>WWW</v>
      </c>
      <c r="N3" s="158" t="str">
        <f>'Comps Data'!AJ4</f>
        <v>LULU</v>
      </c>
      <c r="O3" s="94"/>
      <c r="P3" s="2"/>
    </row>
    <row r="4" spans="2:16">
      <c r="B4" s="159" t="s">
        <v>180</v>
      </c>
      <c r="C4" s="160">
        <f>'Comps Data'!C23</f>
        <v>0.27040537594554603</v>
      </c>
      <c r="D4" s="161">
        <f>'Comps Data'!F23</f>
        <v>0.20559749221702506</v>
      </c>
      <c r="E4" s="161">
        <f>'Comps Data'!I23</f>
        <v>0.10175971945089478</v>
      </c>
      <c r="F4" s="161">
        <f>'Comps Data'!L23</f>
        <v>-3.938739719483432E-2</v>
      </c>
      <c r="G4" s="161">
        <f>'Comps Data'!O23</f>
        <v>0.11632429346113236</v>
      </c>
      <c r="H4" s="161">
        <f>'Comps Data'!R23</f>
        <v>0.14188886585299962</v>
      </c>
      <c r="I4" s="161">
        <f>'Comps Data'!U23</f>
        <v>2.8719029177084594E-2</v>
      </c>
      <c r="J4" s="161">
        <f>'Comps Data'!X23</f>
        <v>9.4291182692745848E-2</v>
      </c>
      <c r="K4" s="161">
        <f>'Comps Data'!AA23</f>
        <v>0.13455823674718104</v>
      </c>
      <c r="L4" s="161">
        <f>'Comps Data'!AD23</f>
        <v>8.9056316061567761E-2</v>
      </c>
      <c r="M4" s="161">
        <f>'Comps Data'!AG23</f>
        <v>4.7096106578049191E-2</v>
      </c>
      <c r="N4" s="161">
        <f>'Comps Data'!AJ23</f>
        <v>0.10196247394926471</v>
      </c>
      <c r="O4" s="94"/>
    </row>
    <row r="5" spans="2:16">
      <c r="B5" s="162" t="s">
        <v>181</v>
      </c>
      <c r="C5" s="163">
        <f>'Comps Data'!C24</f>
        <v>0.60633449794926331</v>
      </c>
      <c r="D5" s="164">
        <f>'Comps Data'!F24</f>
        <v>0.58698348132347833</v>
      </c>
      <c r="E5" s="164">
        <f>'Comps Data'!I24</f>
        <v>0.50774989558816064</v>
      </c>
      <c r="F5" s="164">
        <f>'Comps Data'!L24</f>
        <v>0.7206073752711496</v>
      </c>
      <c r="G5" s="164">
        <f>'Comps Data'!O24</f>
        <v>0.55838854313056285</v>
      </c>
      <c r="H5" s="164">
        <f>'Comps Data'!R24</f>
        <v>0.55284552845528456</v>
      </c>
      <c r="I5" s="164">
        <f>'Comps Data'!U24</f>
        <v>0.58835718290631622</v>
      </c>
      <c r="J5" s="164">
        <f>'Comps Data'!X24</f>
        <v>0.57791047201234869</v>
      </c>
      <c r="K5" s="164">
        <f>'Comps Data'!AA24</f>
        <v>0.41039905383503433</v>
      </c>
      <c r="L5" s="164">
        <f>'Comps Data'!AD24</f>
        <v>0.53151827324012757</v>
      </c>
      <c r="M5" s="164">
        <f>'Comps Data'!AG24</f>
        <v>0.44529914529914527</v>
      </c>
      <c r="N5" s="164">
        <f>'Comps Data'!AJ24</f>
        <v>0.58853629551057285</v>
      </c>
      <c r="O5" s="94"/>
    </row>
    <row r="6" spans="2:16">
      <c r="B6" s="162" t="s">
        <v>6</v>
      </c>
      <c r="C6" s="163">
        <f>'Comps Data'!C25</f>
        <v>0.13644994683275105</v>
      </c>
      <c r="D6" s="164">
        <f>'Comps Data'!F25</f>
        <v>3.2094845974502705E-2</v>
      </c>
      <c r="E6" s="164">
        <f>'Comps Data'!I25</f>
        <v>0.10991151340569952</v>
      </c>
      <c r="F6" s="164">
        <f>'Comps Data'!L25</f>
        <v>0.19783080260303687</v>
      </c>
      <c r="G6" s="164">
        <f>'Comps Data'!O25</f>
        <v>0.18026277632782353</v>
      </c>
      <c r="H6" s="164">
        <f>'Comps Data'!R25</f>
        <v>0.15975609756097561</v>
      </c>
      <c r="I6" s="164">
        <f>'Comps Data'!U25</f>
        <v>0.2880232076253626</v>
      </c>
      <c r="J6" s="164">
        <f>'Comps Data'!X25</f>
        <v>0.24900479324071814</v>
      </c>
      <c r="K6" s="164">
        <f>'Comps Data'!AA25</f>
        <v>0.14118007797100179</v>
      </c>
      <c r="L6" s="164">
        <f>'Comps Data'!AD25</f>
        <v>0.12440074029478003</v>
      </c>
      <c r="M6" s="164">
        <f>'Comps Data'!AG25</f>
        <v>8.3190883190883191E-2</v>
      </c>
      <c r="N6" s="164">
        <f>'Comps Data'!AJ25</f>
        <v>0.28169166249251104</v>
      </c>
      <c r="O6" s="94"/>
    </row>
    <row r="7" spans="2:16">
      <c r="B7" s="162" t="s">
        <v>10</v>
      </c>
      <c r="C7" s="163">
        <f>'Comps Data'!C26</f>
        <v>9.1485644842776853E-2</v>
      </c>
      <c r="D7" s="164">
        <f>'Comps Data'!F26</f>
        <v>0.26191775385683813</v>
      </c>
      <c r="E7" s="164">
        <f>'Comps Data'!I26</f>
        <v>6.0812577820973705E-2</v>
      </c>
      <c r="F7" s="164">
        <f>'Comps Data'!L26</f>
        <v>0.13449023861171366</v>
      </c>
      <c r="G7" s="164">
        <f>'Comps Data'!O26</f>
        <v>0.14811840549644203</v>
      </c>
      <c r="H7" s="164">
        <f>'Comps Data'!R26</f>
        <v>0.106755710414247</v>
      </c>
      <c r="I7" s="164">
        <f>'Comps Data'!U26</f>
        <v>0.25572267862801978</v>
      </c>
      <c r="J7" s="164">
        <f>'Comps Data'!X26</f>
        <v>0.2348078641644325</v>
      </c>
      <c r="K7" s="164">
        <f>'Comps Data'!AA26</f>
        <v>0.11664987515878926</v>
      </c>
      <c r="L7" s="164">
        <f>'Comps Data'!AD26</f>
        <v>0.10082056770798492</v>
      </c>
      <c r="M7" s="164">
        <f>'Comps Data'!AG26</f>
        <v>5.6923076923076923E-2</v>
      </c>
      <c r="N7" s="164">
        <f>'Comps Data'!AJ26</f>
        <v>0.24081440231002679</v>
      </c>
      <c r="O7" s="94"/>
    </row>
    <row r="8" spans="2:16">
      <c r="B8" s="162" t="s">
        <v>182</v>
      </c>
      <c r="C8" s="163">
        <f>'Comps Data'!C27</f>
        <v>0.21373234087801915</v>
      </c>
      <c r="D8" s="164">
        <f>'Comps Data'!F27</f>
        <v>0.20502009028225607</v>
      </c>
      <c r="E8" s="164">
        <f>'Comps Data'!I27</f>
        <v>0.11611767507035602</v>
      </c>
      <c r="F8" s="164">
        <f>'Comps Data'!L27</f>
        <v>0.16876355748373101</v>
      </c>
      <c r="G8" s="164">
        <f>'Comps Data'!O27</f>
        <v>0.15418590644448907</v>
      </c>
      <c r="H8" s="164">
        <f>'Comps Data'!R27</f>
        <v>8.2210607820363921E-2</v>
      </c>
      <c r="I8" s="164">
        <f>'Comps Data'!U27</f>
        <v>0.24194924550839811</v>
      </c>
      <c r="J8" s="164">
        <f>'Comps Data'!X27</f>
        <v>0.221139003980827</v>
      </c>
      <c r="K8" s="164">
        <f>'Comps Data'!AA27</f>
        <v>8.6775592448201849E-2</v>
      </c>
      <c r="L8" s="164">
        <f>'Comps Data'!AD27</f>
        <v>7.6638348161526967E-2</v>
      </c>
      <c r="M8" s="164">
        <f>'Comps Data'!AG27</f>
        <v>0.10262108262108262</v>
      </c>
      <c r="N8" s="164">
        <f>'Comps Data'!AJ27</f>
        <v>0.22151507115707592</v>
      </c>
      <c r="O8" s="94"/>
    </row>
    <row r="9" spans="2:16" ht="15.75" thickBot="1">
      <c r="B9" s="165" t="s">
        <v>183</v>
      </c>
      <c r="C9" s="166">
        <f>'Comps Data'!C28</f>
        <v>0.18764241227403922</v>
      </c>
      <c r="D9" s="167">
        <f>'Comps Data'!F28</f>
        <v>0.1717843146981497</v>
      </c>
      <c r="E9" s="167">
        <f>'Comps Data'!I28</f>
        <v>0.10572723333996885</v>
      </c>
      <c r="F9" s="167">
        <f>'Comps Data'!L28</f>
        <v>0.16876355748373101</v>
      </c>
      <c r="G9" s="167">
        <f>'Comps Data'!O28</f>
        <v>0.13741105088224143</v>
      </c>
      <c r="H9" s="167">
        <f>'Comps Data'!R28</f>
        <v>3.7862950058072005E-2</v>
      </c>
      <c r="I9" s="167">
        <f>'Comps Data'!U28</f>
        <v>0.22503108164111063</v>
      </c>
      <c r="J9" s="167">
        <f>'Comps Data'!X28</f>
        <v>0.20387521325859126</v>
      </c>
      <c r="K9" s="167">
        <f>'Comps Data'!AA28</f>
        <v>7.5430373647553547E-2</v>
      </c>
      <c r="L9" s="167">
        <f>'Comps Data'!AD28</f>
        <v>3.0169242089771894E-2</v>
      </c>
      <c r="M9" s="167">
        <f>'Comps Data'!AG28</f>
        <v>9.1111111111111115E-2</v>
      </c>
      <c r="N9" s="167">
        <f>'Comps Data'!AJ28</f>
        <v>0.15662413938733216</v>
      </c>
      <c r="O9" s="94"/>
    </row>
    <row r="10" spans="2:16" ht="15.75" thickBot="1">
      <c r="B10" s="185"/>
      <c r="C10" s="18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</row>
    <row r="11" spans="2:16" ht="15.75" thickBot="1">
      <c r="B11" s="192" t="s">
        <v>187</v>
      </c>
      <c r="C11" s="189">
        <f>'Comps Data'!C30</f>
        <v>2.5048169556840076E-2</v>
      </c>
      <c r="D11" s="190">
        <f>'Comps Data'!F30</f>
        <v>0.15308764940239045</v>
      </c>
      <c r="E11" s="190">
        <f>'Comps Data'!I30</f>
        <v>0.12006177046858883</v>
      </c>
      <c r="F11" s="190">
        <f>'Comps Data'!L30</f>
        <v>0.30900750625521267</v>
      </c>
      <c r="G11" s="190">
        <f>'Comps Data'!O30</f>
        <v>4.520418314609468E-2</v>
      </c>
      <c r="H11" s="190">
        <f>'Comps Data'!R30</f>
        <v>8.4060665140214458E-2</v>
      </c>
      <c r="I11" s="190">
        <f>'Comps Data'!U30</f>
        <v>0.2235552285091062</v>
      </c>
      <c r="J11" s="190">
        <f>'Comps Data'!AA30</f>
        <v>7.7870521172638443E-2</v>
      </c>
      <c r="K11" s="190">
        <f>'Comps Data'!AA30</f>
        <v>7.7870521172638443E-2</v>
      </c>
      <c r="L11" s="190">
        <f>'Comps Data'!AD30</f>
        <v>0.18425199858642394</v>
      </c>
      <c r="M11" s="190">
        <f>'Comps Data'!AG30</f>
        <v>0.41657527808240641</v>
      </c>
      <c r="N11" s="191">
        <f>'Comps Data'!AJ30</f>
        <v>3.4158345950314244E-2</v>
      </c>
    </row>
    <row r="12" spans="2:16"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</row>
    <row r="13" spans="2:16">
      <c r="B13" s="168" t="s">
        <v>186</v>
      </c>
      <c r="C13" s="169" t="s">
        <v>146</v>
      </c>
      <c r="D13" s="158" t="s">
        <v>149</v>
      </c>
      <c r="E13" s="158" t="s">
        <v>152</v>
      </c>
      <c r="F13" s="158" t="s">
        <v>151</v>
      </c>
      <c r="G13" s="158" t="s">
        <v>52</v>
      </c>
      <c r="H13" s="158" t="s">
        <v>145</v>
      </c>
      <c r="I13" s="158" t="s">
        <v>55</v>
      </c>
      <c r="J13" s="158" t="s">
        <v>147</v>
      </c>
      <c r="K13" s="158" t="s">
        <v>150</v>
      </c>
      <c r="L13" s="158" t="s">
        <v>148</v>
      </c>
      <c r="M13" s="158" t="s">
        <v>144</v>
      </c>
      <c r="N13" s="195" t="s">
        <v>143</v>
      </c>
    </row>
    <row r="14" spans="2:16" ht="15.75" thickBot="1">
      <c r="B14" s="170" t="s">
        <v>180</v>
      </c>
      <c r="C14" s="171">
        <f t="shared" ref="C14:N14" si="0">IFERROR(INDEX($C$4:$N$9,MATCH($B14,$B$4:$B$9,0),MATCH(C13,$C$3:$N$3,0)),"")</f>
        <v>-3.938739719483432E-2</v>
      </c>
      <c r="D14" s="171">
        <f t="shared" si="0"/>
        <v>2.8719029177084594E-2</v>
      </c>
      <c r="E14" s="171">
        <f t="shared" si="0"/>
        <v>4.7096106578049191E-2</v>
      </c>
      <c r="F14" s="171">
        <f t="shared" si="0"/>
        <v>8.9056316061567761E-2</v>
      </c>
      <c r="G14" s="171">
        <f t="shared" si="0"/>
        <v>9.4291182692745848E-2</v>
      </c>
      <c r="H14" s="171">
        <f t="shared" si="0"/>
        <v>0.10175971945089478</v>
      </c>
      <c r="I14" s="171">
        <f t="shared" si="0"/>
        <v>0.10196247394926471</v>
      </c>
      <c r="J14" s="171">
        <f t="shared" si="0"/>
        <v>0.11632429346113236</v>
      </c>
      <c r="K14" s="200">
        <f t="shared" si="0"/>
        <v>0.13455823674718104</v>
      </c>
      <c r="L14" s="200">
        <f t="shared" si="0"/>
        <v>0.14188886585299962</v>
      </c>
      <c r="M14" s="200">
        <f t="shared" si="0"/>
        <v>0.20559749221702506</v>
      </c>
      <c r="N14" s="196">
        <f t="shared" si="0"/>
        <v>0.27040537594554603</v>
      </c>
    </row>
    <row r="15" spans="2:16">
      <c r="B15" s="155"/>
      <c r="C15" s="155"/>
      <c r="D15" s="155"/>
      <c r="E15" s="172"/>
      <c r="F15" s="172"/>
      <c r="G15" s="172"/>
      <c r="H15" s="172"/>
      <c r="I15" s="172"/>
      <c r="J15" s="172"/>
      <c r="K15" s="172"/>
      <c r="L15" s="172"/>
      <c r="M15" s="172"/>
      <c r="N15" s="172"/>
    </row>
    <row r="16" spans="2:16">
      <c r="B16" s="173" t="s">
        <v>186</v>
      </c>
      <c r="C16" s="169" t="s">
        <v>150</v>
      </c>
      <c r="D16" s="158" t="s">
        <v>152</v>
      </c>
      <c r="E16" s="158" t="s">
        <v>145</v>
      </c>
      <c r="F16" s="158" t="s">
        <v>151</v>
      </c>
      <c r="G16" s="158" t="s">
        <v>148</v>
      </c>
      <c r="H16" s="158" t="s">
        <v>147</v>
      </c>
      <c r="I16" s="158" t="s">
        <v>52</v>
      </c>
      <c r="J16" s="158" t="s">
        <v>144</v>
      </c>
      <c r="K16" s="158" t="s">
        <v>149</v>
      </c>
      <c r="L16" s="158" t="s">
        <v>55</v>
      </c>
      <c r="M16" s="197" t="s">
        <v>143</v>
      </c>
      <c r="N16" s="182" t="s">
        <v>146</v>
      </c>
    </row>
    <row r="17" spans="2:15" ht="15.75" thickBot="1">
      <c r="B17" s="170" t="s">
        <v>181</v>
      </c>
      <c r="C17" s="284">
        <f t="shared" ref="C17:N17" si="1">IFERROR(INDEX($C$4:$N$9,MATCH($B17,$B$4:$B$9,0),MATCH(C16,$C$3:$N$3,0)),"")</f>
        <v>0.41039905383503433</v>
      </c>
      <c r="D17" s="193">
        <f t="shared" si="1"/>
        <v>0.44529914529914527</v>
      </c>
      <c r="E17" s="171">
        <f t="shared" si="1"/>
        <v>0.50774989558816064</v>
      </c>
      <c r="F17" s="193">
        <f t="shared" si="1"/>
        <v>0.53151827324012757</v>
      </c>
      <c r="G17" s="201">
        <f t="shared" si="1"/>
        <v>0.55284552845528456</v>
      </c>
      <c r="H17" s="201">
        <f t="shared" si="1"/>
        <v>0.55838854313056285</v>
      </c>
      <c r="I17" s="201">
        <f t="shared" si="1"/>
        <v>0.57791047201234869</v>
      </c>
      <c r="J17" s="200">
        <f t="shared" si="1"/>
        <v>0.58698348132347833</v>
      </c>
      <c r="K17" s="201">
        <f t="shared" si="1"/>
        <v>0.58835718290631622</v>
      </c>
      <c r="L17" s="201">
        <f t="shared" si="1"/>
        <v>0.58853629551057285</v>
      </c>
      <c r="M17" s="194">
        <f t="shared" si="1"/>
        <v>0.60633449794926331</v>
      </c>
      <c r="N17" s="183">
        <f t="shared" si="1"/>
        <v>0.7206073752711496</v>
      </c>
    </row>
    <row r="18" spans="2:15">
      <c r="B18" s="155"/>
      <c r="C18" s="155"/>
      <c r="D18" s="155"/>
      <c r="E18" s="155"/>
      <c r="F18" s="155"/>
      <c r="G18" s="174"/>
      <c r="H18" s="155"/>
      <c r="I18" s="155"/>
      <c r="J18" s="175"/>
      <c r="K18" s="155"/>
      <c r="L18" s="155"/>
      <c r="M18" s="155"/>
      <c r="N18" s="155"/>
    </row>
    <row r="19" spans="2:15">
      <c r="B19" s="176" t="s">
        <v>186</v>
      </c>
      <c r="C19" s="169" t="s">
        <v>144</v>
      </c>
      <c r="D19" s="158" t="s">
        <v>152</v>
      </c>
      <c r="E19" s="158" t="s">
        <v>145</v>
      </c>
      <c r="F19" s="158" t="s">
        <v>151</v>
      </c>
      <c r="G19" s="340" t="s">
        <v>143</v>
      </c>
      <c r="H19" s="158" t="s">
        <v>150</v>
      </c>
      <c r="I19" s="158" t="s">
        <v>148</v>
      </c>
      <c r="J19" s="158" t="s">
        <v>147</v>
      </c>
      <c r="K19" s="198" t="s">
        <v>146</v>
      </c>
      <c r="L19" s="158" t="s">
        <v>52</v>
      </c>
      <c r="M19" s="158" t="s">
        <v>55</v>
      </c>
      <c r="N19" s="182" t="s">
        <v>149</v>
      </c>
      <c r="O19" s="310"/>
    </row>
    <row r="20" spans="2:15" ht="15.75" thickBot="1">
      <c r="B20" s="170" t="s">
        <v>6</v>
      </c>
      <c r="C20" s="193">
        <f t="shared" ref="C20:N20" si="2">IFERROR(INDEX($C$4:$N$9,MATCH($B20,$B$4:$B$9,0),MATCH(C19,$C$3:$N$3,0)),"")</f>
        <v>3.2094845974502705E-2</v>
      </c>
      <c r="D20" s="171">
        <f t="shared" si="2"/>
        <v>8.3190883190883191E-2</v>
      </c>
      <c r="E20" s="201">
        <f t="shared" si="2"/>
        <v>0.10991151340569952</v>
      </c>
      <c r="F20" s="201">
        <f t="shared" si="2"/>
        <v>0.12440074029478003</v>
      </c>
      <c r="G20" s="341">
        <f t="shared" si="2"/>
        <v>0.13644994683275105</v>
      </c>
      <c r="H20" s="200">
        <f t="shared" si="2"/>
        <v>0.14118007797100179</v>
      </c>
      <c r="I20" s="201">
        <f t="shared" si="2"/>
        <v>0.15975609756097561</v>
      </c>
      <c r="J20" s="201">
        <f t="shared" si="2"/>
        <v>0.18026277632782353</v>
      </c>
      <c r="K20" s="193">
        <f t="shared" si="2"/>
        <v>0.19783080260303687</v>
      </c>
      <c r="L20" s="171">
        <f t="shared" si="2"/>
        <v>0.24900479324071814</v>
      </c>
      <c r="M20" s="171">
        <f t="shared" si="2"/>
        <v>0.28169166249251104</v>
      </c>
      <c r="N20" s="339">
        <f t="shared" si="2"/>
        <v>0.2880232076253626</v>
      </c>
    </row>
    <row r="21" spans="2:15"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</row>
    <row r="22" spans="2:15">
      <c r="B22" s="176" t="s">
        <v>186</v>
      </c>
      <c r="C22" s="169" t="s">
        <v>152</v>
      </c>
      <c r="D22" s="158" t="s">
        <v>145</v>
      </c>
      <c r="E22" s="197" t="s">
        <v>143</v>
      </c>
      <c r="F22" s="158" t="s">
        <v>151</v>
      </c>
      <c r="G22" s="158" t="s">
        <v>148</v>
      </c>
      <c r="H22" s="198" t="s">
        <v>150</v>
      </c>
      <c r="I22" s="158" t="s">
        <v>146</v>
      </c>
      <c r="J22" s="158" t="s">
        <v>147</v>
      </c>
      <c r="K22" s="158" t="s">
        <v>52</v>
      </c>
      <c r="L22" s="158" t="s">
        <v>55</v>
      </c>
      <c r="M22" s="158" t="s">
        <v>149</v>
      </c>
      <c r="N22" s="182" t="s">
        <v>144</v>
      </c>
    </row>
    <row r="23" spans="2:15" ht="15.75" thickBot="1">
      <c r="B23" s="170" t="s">
        <v>10</v>
      </c>
      <c r="C23" s="200">
        <f t="shared" ref="C23:N23" si="3">IFERROR(INDEX($C$4:$N$9,MATCH($B23,$B$4:$B$9,0),MATCH(C22,$C$3:$N$3,0)),"")</f>
        <v>5.6923076923076923E-2</v>
      </c>
      <c r="D23" s="200">
        <f t="shared" si="3"/>
        <v>6.0812577820973705E-2</v>
      </c>
      <c r="E23" s="194">
        <f t="shared" si="3"/>
        <v>9.1485644842776853E-2</v>
      </c>
      <c r="F23" s="200">
        <f t="shared" si="3"/>
        <v>0.10082056770798492</v>
      </c>
      <c r="G23" s="200">
        <f t="shared" si="3"/>
        <v>0.106755710414247</v>
      </c>
      <c r="H23" s="200">
        <f t="shared" si="3"/>
        <v>0.11664987515878926</v>
      </c>
      <c r="I23" s="200">
        <f t="shared" si="3"/>
        <v>0.13449023861171366</v>
      </c>
      <c r="J23" s="200">
        <f t="shared" si="3"/>
        <v>0.14811840549644203</v>
      </c>
      <c r="K23" s="171">
        <f t="shared" si="3"/>
        <v>0.2348078641644325</v>
      </c>
      <c r="L23" s="171">
        <f t="shared" si="3"/>
        <v>0.24081440231002679</v>
      </c>
      <c r="M23" s="171">
        <f t="shared" si="3"/>
        <v>0.25572267862801978</v>
      </c>
      <c r="N23" s="183">
        <f t="shared" si="3"/>
        <v>0.26191775385683813</v>
      </c>
    </row>
    <row r="24" spans="2:15"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</row>
    <row r="25" spans="2:15">
      <c r="B25" s="176" t="s">
        <v>186</v>
      </c>
      <c r="C25" s="169" t="s">
        <v>151</v>
      </c>
      <c r="D25" s="158" t="s">
        <v>148</v>
      </c>
      <c r="E25" s="158" t="s">
        <v>150</v>
      </c>
      <c r="F25" s="158" t="s">
        <v>152</v>
      </c>
      <c r="G25" s="158" t="s">
        <v>145</v>
      </c>
      <c r="H25" s="158" t="s">
        <v>147</v>
      </c>
      <c r="I25" s="158" t="s">
        <v>146</v>
      </c>
      <c r="J25" s="158" t="s">
        <v>144</v>
      </c>
      <c r="K25" s="197" t="s">
        <v>143</v>
      </c>
      <c r="L25" s="158" t="s">
        <v>52</v>
      </c>
      <c r="M25" s="158" t="s">
        <v>55</v>
      </c>
      <c r="N25" s="182" t="s">
        <v>149</v>
      </c>
    </row>
    <row r="26" spans="2:15" ht="15.75" thickBot="1">
      <c r="B26" s="170" t="s">
        <v>182</v>
      </c>
      <c r="C26" s="171">
        <f t="shared" ref="C26:N26" si="4">IFERROR(INDEX($C$4:$N$9,MATCH($B26,$B$4:$B$9,0),MATCH(C25,$C$3:$N$3,0)),"")</f>
        <v>7.6638348161526967E-2</v>
      </c>
      <c r="D26" s="171">
        <f t="shared" si="4"/>
        <v>8.2210607820363921E-2</v>
      </c>
      <c r="E26" s="171">
        <f t="shared" si="4"/>
        <v>8.6775592448201849E-2</v>
      </c>
      <c r="F26" s="171">
        <f t="shared" si="4"/>
        <v>0.10262108262108262</v>
      </c>
      <c r="G26" s="171">
        <f t="shared" si="4"/>
        <v>0.11611767507035602</v>
      </c>
      <c r="H26" s="200">
        <f t="shared" si="4"/>
        <v>0.15418590644448907</v>
      </c>
      <c r="I26" s="200">
        <f t="shared" si="4"/>
        <v>0.16876355748373101</v>
      </c>
      <c r="J26" s="200">
        <f t="shared" si="4"/>
        <v>0.20502009028225607</v>
      </c>
      <c r="K26" s="194">
        <f t="shared" si="4"/>
        <v>0.21373234087801915</v>
      </c>
      <c r="L26" s="200">
        <f t="shared" si="4"/>
        <v>0.221139003980827</v>
      </c>
      <c r="M26" s="200">
        <f t="shared" si="4"/>
        <v>0.22151507115707592</v>
      </c>
      <c r="N26" s="274">
        <f t="shared" si="4"/>
        <v>0.24194924550839811</v>
      </c>
    </row>
    <row r="27" spans="2:15"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</row>
    <row r="28" spans="2:15">
      <c r="B28" s="173" t="s">
        <v>186</v>
      </c>
      <c r="C28" s="169" t="s">
        <v>151</v>
      </c>
      <c r="D28" s="158" t="s">
        <v>148</v>
      </c>
      <c r="E28" s="158" t="s">
        <v>150</v>
      </c>
      <c r="F28" s="158" t="s">
        <v>152</v>
      </c>
      <c r="G28" s="158" t="s">
        <v>145</v>
      </c>
      <c r="H28" s="158" t="s">
        <v>147</v>
      </c>
      <c r="I28" s="158" t="s">
        <v>55</v>
      </c>
      <c r="J28" s="158" t="s">
        <v>146</v>
      </c>
      <c r="K28" s="158" t="s">
        <v>144</v>
      </c>
      <c r="L28" s="197" t="s">
        <v>143</v>
      </c>
      <c r="M28" s="158" t="s">
        <v>52</v>
      </c>
      <c r="N28" s="182" t="s">
        <v>149</v>
      </c>
    </row>
    <row r="29" spans="2:15" ht="15.75" thickBot="1">
      <c r="B29" s="170" t="s">
        <v>183</v>
      </c>
      <c r="C29" s="171">
        <f t="shared" ref="C29:N29" si="5">IFERROR(INDEX($C$4:$N$9,MATCH($B29,$B$4:$B$9,0),MATCH(C28,$C$3:$N$3,0)),"")</f>
        <v>3.0169242089771894E-2</v>
      </c>
      <c r="D29" s="171">
        <f t="shared" si="5"/>
        <v>3.7862950058072005E-2</v>
      </c>
      <c r="E29" s="171">
        <f t="shared" si="5"/>
        <v>7.5430373647553547E-2</v>
      </c>
      <c r="F29" s="171">
        <f t="shared" si="5"/>
        <v>9.1111111111111115E-2</v>
      </c>
      <c r="G29" s="171">
        <f t="shared" si="5"/>
        <v>0.10572723333996885</v>
      </c>
      <c r="H29" s="200">
        <f t="shared" si="5"/>
        <v>0.13741105088224143</v>
      </c>
      <c r="I29" s="200">
        <f t="shared" si="5"/>
        <v>0.15662413938733216</v>
      </c>
      <c r="J29" s="200">
        <f t="shared" si="5"/>
        <v>0.16876355748373101</v>
      </c>
      <c r="K29" s="200">
        <f t="shared" si="5"/>
        <v>0.1717843146981497</v>
      </c>
      <c r="L29" s="194">
        <f t="shared" si="5"/>
        <v>0.18764241227403922</v>
      </c>
      <c r="M29" s="200">
        <f t="shared" si="5"/>
        <v>0.20387521325859126</v>
      </c>
      <c r="N29" s="274">
        <f t="shared" si="5"/>
        <v>0.22503108164111063</v>
      </c>
    </row>
    <row r="30" spans="2:15"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</row>
    <row r="31" spans="2:15">
      <c r="B31" s="173" t="s">
        <v>186</v>
      </c>
      <c r="C31" s="169" t="s">
        <v>52</v>
      </c>
      <c r="D31" s="158" t="s">
        <v>143</v>
      </c>
      <c r="E31" s="158" t="s">
        <v>55</v>
      </c>
      <c r="F31" s="158" t="s">
        <v>147</v>
      </c>
      <c r="G31" s="158" t="s">
        <v>150</v>
      </c>
      <c r="H31" s="158" t="s">
        <v>148</v>
      </c>
      <c r="I31" s="158" t="s">
        <v>145</v>
      </c>
      <c r="J31" s="158" t="s">
        <v>144</v>
      </c>
      <c r="K31" s="158" t="s">
        <v>151</v>
      </c>
      <c r="L31" s="158" t="s">
        <v>149</v>
      </c>
      <c r="M31" s="158" t="s">
        <v>144</v>
      </c>
      <c r="N31" s="182" t="s">
        <v>152</v>
      </c>
    </row>
    <row r="32" spans="2:15" ht="15.75" thickBot="1">
      <c r="B32" s="170" t="s">
        <v>187</v>
      </c>
      <c r="C32" s="201">
        <v>1.464126433818084E-2</v>
      </c>
      <c r="D32" s="199">
        <v>2.5529706697071358E-2</v>
      </c>
      <c r="E32" s="201">
        <v>3.4158345950314244E-2</v>
      </c>
      <c r="F32" s="201">
        <v>4.7104216068485992E-2</v>
      </c>
      <c r="G32" s="201">
        <v>4.948893776685212E-2</v>
      </c>
      <c r="H32" s="201">
        <v>8.4060665140214499E-2</v>
      </c>
      <c r="I32" s="193">
        <v>0.12487407472296438</v>
      </c>
      <c r="J32" s="193">
        <v>0.15272392937058291</v>
      </c>
      <c r="K32" s="193">
        <v>0.18425199858642394</v>
      </c>
      <c r="L32" s="193">
        <v>0.2235552285091062</v>
      </c>
      <c r="M32" s="193">
        <v>0.30900750625521267</v>
      </c>
      <c r="N32" s="339">
        <v>0.41657527808240641</v>
      </c>
      <c r="O32" s="310"/>
    </row>
    <row r="33" spans="2:14" ht="15.75" thickBot="1"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</row>
    <row r="34" spans="2:14" ht="15.75" thickBot="1">
      <c r="B34" s="186" t="s">
        <v>188</v>
      </c>
      <c r="C34" s="187"/>
      <c r="D34" s="187"/>
      <c r="E34" s="188"/>
      <c r="F34" s="155"/>
      <c r="G34" s="155"/>
      <c r="H34" s="155"/>
      <c r="I34" s="155"/>
      <c r="J34" s="155"/>
      <c r="K34" s="155"/>
      <c r="L34" s="155"/>
      <c r="M34" s="155"/>
      <c r="N34" s="155"/>
    </row>
    <row r="35" spans="2:14"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</row>
    <row r="36" spans="2:14">
      <c r="B36" s="177"/>
      <c r="C36" s="202" t="s">
        <v>152</v>
      </c>
      <c r="D36" s="158" t="s">
        <v>145</v>
      </c>
      <c r="E36" s="158" t="s">
        <v>146</v>
      </c>
      <c r="F36" s="158" t="s">
        <v>149</v>
      </c>
      <c r="G36" s="158" t="s">
        <v>151</v>
      </c>
      <c r="H36" s="158" t="s">
        <v>144</v>
      </c>
      <c r="I36" s="158" t="s">
        <v>147</v>
      </c>
      <c r="J36" s="158" t="s">
        <v>52</v>
      </c>
      <c r="K36" s="158" t="s">
        <v>150</v>
      </c>
      <c r="L36" s="158" t="s">
        <v>55</v>
      </c>
      <c r="M36" s="158" t="s">
        <v>148</v>
      </c>
      <c r="N36" s="182" t="s">
        <v>143</v>
      </c>
    </row>
    <row r="37" spans="2:14" ht="15.75" thickBot="1">
      <c r="B37" s="177"/>
      <c r="C37" s="203">
        <v>1</v>
      </c>
      <c r="D37" s="179">
        <v>2</v>
      </c>
      <c r="E37" s="179">
        <v>3</v>
      </c>
      <c r="F37" s="179">
        <v>3</v>
      </c>
      <c r="G37" s="179">
        <v>3</v>
      </c>
      <c r="H37" s="204">
        <v>4</v>
      </c>
      <c r="I37" s="204">
        <v>4</v>
      </c>
      <c r="J37" s="272">
        <v>4</v>
      </c>
      <c r="K37" s="204">
        <v>4</v>
      </c>
      <c r="L37" s="204">
        <v>4</v>
      </c>
      <c r="M37" s="204">
        <v>5</v>
      </c>
      <c r="N37" s="273">
        <v>7</v>
      </c>
    </row>
    <row r="38" spans="2:14">
      <c r="B38" s="155"/>
      <c r="C38" s="180"/>
      <c r="D38" s="180"/>
      <c r="E38" s="180"/>
      <c r="F38" s="180"/>
      <c r="G38" s="180"/>
      <c r="H38" s="180"/>
      <c r="I38" s="180"/>
      <c r="J38" s="155"/>
      <c r="K38" s="180"/>
      <c r="L38" s="180"/>
      <c r="M38" s="155"/>
      <c r="N38" s="180"/>
    </row>
    <row r="39" spans="2:14">
      <c r="B39" s="155"/>
      <c r="C39" s="155"/>
      <c r="D39" s="155"/>
      <c r="E39" s="155"/>
      <c r="F39" s="155"/>
      <c r="G39" s="155"/>
      <c r="H39" s="155"/>
      <c r="I39" s="155"/>
      <c r="K39" s="155"/>
      <c r="L39" s="155"/>
      <c r="M39" s="155"/>
      <c r="N39" s="155"/>
    </row>
    <row r="40" spans="2:14" ht="15.75" thickBot="1">
      <c r="B40" s="463" t="s">
        <v>189</v>
      </c>
      <c r="C40" s="464"/>
      <c r="D40" s="464"/>
      <c r="E40" s="465"/>
      <c r="F40" s="155"/>
      <c r="G40" s="155"/>
      <c r="H40" s="155"/>
      <c r="I40" s="155"/>
      <c r="J40" s="155"/>
      <c r="K40" s="155"/>
      <c r="L40" s="155"/>
      <c r="M40" s="155"/>
      <c r="N40" s="155"/>
    </row>
    <row r="41" spans="2:14" ht="15.75" thickBot="1">
      <c r="B41" s="155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</row>
    <row r="42" spans="2:14">
      <c r="B42" s="155"/>
      <c r="C42" s="205" t="s">
        <v>144</v>
      </c>
      <c r="D42" s="206" t="s">
        <v>147</v>
      </c>
      <c r="E42" s="206" t="s">
        <v>52</v>
      </c>
      <c r="F42" s="206" t="s">
        <v>150</v>
      </c>
      <c r="G42" s="206" t="s">
        <v>55</v>
      </c>
      <c r="H42" s="206" t="s">
        <v>148</v>
      </c>
      <c r="I42" s="207" t="s">
        <v>143</v>
      </c>
      <c r="J42" s="155"/>
      <c r="K42" s="155"/>
      <c r="L42" s="155"/>
      <c r="M42" s="155"/>
      <c r="N42" s="155"/>
    </row>
    <row r="43" spans="2:14" ht="15.75" thickBot="1">
      <c r="B43" s="155"/>
      <c r="C43" s="178">
        <v>4</v>
      </c>
      <c r="D43" s="179">
        <v>4</v>
      </c>
      <c r="E43" s="179">
        <v>4</v>
      </c>
      <c r="F43" s="179">
        <v>4</v>
      </c>
      <c r="G43" s="179">
        <v>4</v>
      </c>
      <c r="H43" s="179">
        <v>5</v>
      </c>
      <c r="I43" s="181">
        <v>7</v>
      </c>
      <c r="J43" s="155"/>
      <c r="K43" s="155"/>
      <c r="L43" s="155"/>
      <c r="M43" s="155"/>
      <c r="N43" s="155"/>
    </row>
    <row r="53" spans="2:14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</row>
  </sheetData>
  <sortState xmlns:xlrd2="http://schemas.microsoft.com/office/spreadsheetml/2017/richdata2" columnSort="1" ref="C19:N20">
    <sortCondition ref="C20:N20"/>
  </sortState>
  <mergeCells count="2">
    <mergeCell ref="B1:N1"/>
    <mergeCell ref="B40:E4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9CC6C-2788-4BB5-A80D-9B3D6665AD02}">
  <sheetPr>
    <tabColor rgb="FF00B0F0"/>
  </sheetPr>
  <dimension ref="B1:AC47"/>
  <sheetViews>
    <sheetView showGridLines="0" zoomScale="89" zoomScaleNormal="85" workbookViewId="0">
      <selection activeCell="R38" sqref="R38"/>
    </sheetView>
  </sheetViews>
  <sheetFormatPr defaultColWidth="11.85546875" defaultRowHeight="14.25"/>
  <cols>
    <col min="1" max="1" width="11.85546875" style="208"/>
    <col min="2" max="3" width="14.85546875" style="208" customWidth="1"/>
    <col min="4" max="4" width="2.85546875" style="208" customWidth="1"/>
    <col min="5" max="9" width="14.85546875" style="208" customWidth="1"/>
    <col min="10" max="10" width="9.85546875" style="208" customWidth="1"/>
    <col min="11" max="14" width="14.85546875" style="208" customWidth="1"/>
    <col min="15" max="15" width="12.28515625" style="208" bestFit="1" customWidth="1"/>
    <col min="16" max="16" width="14.140625" style="208" bestFit="1" customWidth="1"/>
    <col min="17" max="17" width="10.85546875" style="208" bestFit="1" customWidth="1"/>
    <col min="18" max="20" width="14.85546875" style="208" customWidth="1"/>
    <col min="21" max="27" width="11.85546875" style="208"/>
    <col min="28" max="28" width="18.140625" style="208" bestFit="1" customWidth="1"/>
    <col min="29" max="29" width="11.28515625" style="208" customWidth="1"/>
    <col min="30" max="16384" width="11.85546875" style="208"/>
  </cols>
  <sheetData>
    <row r="1" spans="2:29" ht="45">
      <c r="B1" s="462" t="s">
        <v>190</v>
      </c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</row>
    <row r="3" spans="2:29" ht="15.75" thickBot="1">
      <c r="C3" s="466" t="s">
        <v>191</v>
      </c>
      <c r="D3" s="466"/>
      <c r="E3" s="466"/>
      <c r="F3" s="467"/>
      <c r="K3" s="466" t="s">
        <v>192</v>
      </c>
      <c r="L3" s="468"/>
      <c r="M3" s="469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2:29" ht="15.75" thickBot="1">
      <c r="B4" s="209"/>
      <c r="C4" s="209"/>
      <c r="D4" s="209"/>
      <c r="E4" s="209"/>
      <c r="F4" s="209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2:29" ht="15.75" thickBot="1">
      <c r="C5" s="332" t="s">
        <v>143</v>
      </c>
      <c r="E5" s="391" t="s">
        <v>144</v>
      </c>
      <c r="F5" s="392" t="s">
        <v>148</v>
      </c>
      <c r="G5" s="393" t="s">
        <v>52</v>
      </c>
      <c r="H5" s="393" t="s">
        <v>147</v>
      </c>
      <c r="J5" s="280" t="s">
        <v>193</v>
      </c>
      <c r="K5" s="279" t="s">
        <v>194</v>
      </c>
      <c r="L5" s="281" t="s">
        <v>195</v>
      </c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2:29" ht="15">
      <c r="B6" s="212" t="s">
        <v>196</v>
      </c>
      <c r="C6" s="275">
        <v>48.76</v>
      </c>
      <c r="E6" s="213">
        <v>34.020000000000003</v>
      </c>
      <c r="F6" s="214">
        <v>85.38</v>
      </c>
      <c r="G6" s="215">
        <v>19</v>
      </c>
      <c r="H6" s="215">
        <v>36.69</v>
      </c>
      <c r="I6" s="216" t="s">
        <v>196</v>
      </c>
      <c r="J6" s="217">
        <f>IFERROR(AVERAGE(E6:H6),"")</f>
        <v>43.772500000000001</v>
      </c>
      <c r="K6" s="218">
        <f>IFERROR(MEDIAN(E6:H6),"")</f>
        <v>35.355000000000004</v>
      </c>
      <c r="L6" s="308">
        <f>IFERROR(ABS((J6-K6)/J6),"")</f>
        <v>0.19230110229025066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2:29" ht="15">
      <c r="B7" s="212" t="s">
        <v>197</v>
      </c>
      <c r="C7" s="275">
        <v>8.48</v>
      </c>
      <c r="E7" s="220">
        <v>2.88</v>
      </c>
      <c r="F7" s="218">
        <v>3.23</v>
      </c>
      <c r="G7" s="221">
        <v>6.8</v>
      </c>
      <c r="H7" s="221">
        <v>9.9</v>
      </c>
      <c r="I7" s="216" t="s">
        <v>198</v>
      </c>
      <c r="J7" s="217">
        <f>IFERROR(AVERAGE(E7:H7),"")</f>
        <v>5.7025000000000006</v>
      </c>
      <c r="K7" s="218">
        <f>IFERROR(MEDIAN(E7:H7),"")</f>
        <v>5.0149999999999997</v>
      </c>
      <c r="L7" s="219">
        <f t="shared" ref="L7:L10" si="0">IFERROR(ABS((J7-K7)/J7),"")</f>
        <v>0.12056115738711105</v>
      </c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2:29" ht="15">
      <c r="B8" s="212" t="s">
        <v>199</v>
      </c>
      <c r="C8" s="275">
        <v>8.86</v>
      </c>
      <c r="E8" s="220" t="s">
        <v>200</v>
      </c>
      <c r="F8" s="218">
        <v>57.41</v>
      </c>
      <c r="G8" s="221">
        <v>6.88</v>
      </c>
      <c r="H8" s="221">
        <v>12.33</v>
      </c>
      <c r="I8" s="216" t="s">
        <v>199</v>
      </c>
      <c r="J8" s="217">
        <f>IFERROR(AVERAGE(F8:H8),"")</f>
        <v>25.539999999999996</v>
      </c>
      <c r="K8" s="218">
        <f>IFERROR(MEDIAN(F8:H8),"")</f>
        <v>12.33</v>
      </c>
      <c r="L8" s="219">
        <f t="shared" si="0"/>
        <v>0.51722787783868429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2:29" ht="15">
      <c r="B9" s="212" t="s">
        <v>201</v>
      </c>
      <c r="C9" s="276">
        <v>23.79</v>
      </c>
      <c r="E9" s="329">
        <v>25.33</v>
      </c>
      <c r="F9" s="218">
        <v>35.049999999999997</v>
      </c>
      <c r="G9" s="221">
        <v>17.420000000000002</v>
      </c>
      <c r="H9" s="221">
        <f>AVERAGE(21.48,23.6)</f>
        <v>22.54</v>
      </c>
      <c r="I9" s="216" t="s">
        <v>201</v>
      </c>
      <c r="J9" s="217">
        <f>IFERROR(AVERAGE(E9:H9),"")</f>
        <v>25.085000000000001</v>
      </c>
      <c r="K9" s="218">
        <f>IFERROR(MEDIAN(E9:H9),"")</f>
        <v>23.934999999999999</v>
      </c>
      <c r="L9" s="308">
        <f>IFERROR(ABS((J9-K9)/J9),"")</f>
        <v>4.5844129958142396E-2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2:29" ht="15.75" thickBot="1">
      <c r="B10" s="212" t="s">
        <v>202</v>
      </c>
      <c r="C10" s="277">
        <v>27.11</v>
      </c>
      <c r="E10" s="224">
        <v>24.76</v>
      </c>
      <c r="F10" s="330">
        <v>76.81</v>
      </c>
      <c r="G10" s="357">
        <v>18.89</v>
      </c>
      <c r="H10" s="331">
        <v>24.1</v>
      </c>
      <c r="I10" s="216" t="s">
        <v>202</v>
      </c>
      <c r="J10" s="224">
        <f>IFERROR(AVERAGE(E10:H10),"")</f>
        <v>36.14</v>
      </c>
      <c r="K10" s="225">
        <f>IFERROR(MEDIAN(E10:H10),"")</f>
        <v>24.43</v>
      </c>
      <c r="L10" s="226">
        <f t="shared" si="0"/>
        <v>0.32401770890979525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2:29" ht="15">
      <c r="B11" s="227"/>
      <c r="R11"/>
      <c r="S11"/>
      <c r="T11"/>
      <c r="U11"/>
      <c r="V11"/>
      <c r="W11"/>
      <c r="X11"/>
      <c r="Y11"/>
      <c r="Z11"/>
      <c r="AA11"/>
      <c r="AB11"/>
      <c r="AC11"/>
    </row>
    <row r="12" spans="2:29" ht="15.75" thickBot="1">
      <c r="C12" s="466" t="s">
        <v>203</v>
      </c>
      <c r="D12" s="466"/>
      <c r="E12" s="466"/>
      <c r="F12" s="467"/>
      <c r="H12" s="307"/>
      <c r="R12"/>
      <c r="S12"/>
      <c r="T12"/>
      <c r="U12"/>
      <c r="V12"/>
      <c r="W12"/>
      <c r="X12"/>
      <c r="Y12"/>
      <c r="Z12"/>
      <c r="AA12"/>
      <c r="AB12"/>
      <c r="AC12"/>
    </row>
    <row r="13" spans="2:29" ht="15">
      <c r="D13" s="228" t="s">
        <v>143</v>
      </c>
      <c r="R13"/>
      <c r="S13"/>
      <c r="T13"/>
      <c r="U13"/>
      <c r="V13"/>
      <c r="W13"/>
      <c r="X13"/>
      <c r="Y13"/>
      <c r="Z13"/>
      <c r="AA13"/>
      <c r="AB13"/>
      <c r="AC13"/>
    </row>
    <row r="14" spans="2:29" ht="15.75" customHeight="1" thickBot="1">
      <c r="B14" s="216"/>
      <c r="D14" s="216" t="s">
        <v>204</v>
      </c>
      <c r="E14" s="399">
        <v>45657</v>
      </c>
      <c r="F14" s="400" t="s">
        <v>205</v>
      </c>
      <c r="L14" s="229"/>
      <c r="R14"/>
      <c r="S14"/>
      <c r="T14"/>
      <c r="U14"/>
      <c r="V14"/>
      <c r="W14"/>
      <c r="X14"/>
      <c r="Y14"/>
      <c r="Z14"/>
      <c r="AA14"/>
      <c r="AB14"/>
      <c r="AC14"/>
    </row>
    <row r="15" spans="2:29" ht="16.5" thickBot="1">
      <c r="B15" s="216"/>
      <c r="D15" s="216" t="s">
        <v>206</v>
      </c>
      <c r="E15" s="222">
        <v>5.3</v>
      </c>
      <c r="F15" s="230">
        <v>6.28</v>
      </c>
      <c r="H15" s="473" t="s">
        <v>207</v>
      </c>
      <c r="I15" s="473"/>
      <c r="J15" s="474"/>
      <c r="K15" s="475"/>
      <c r="L15" s="231"/>
      <c r="M15" s="473" t="s">
        <v>207</v>
      </c>
      <c r="N15" s="473"/>
      <c r="O15" s="474"/>
      <c r="P15" s="475"/>
      <c r="R15"/>
      <c r="S15"/>
      <c r="T15"/>
      <c r="U15"/>
      <c r="V15"/>
      <c r="W15"/>
      <c r="X15"/>
      <c r="Y15"/>
      <c r="Z15"/>
      <c r="AA15"/>
      <c r="AB15"/>
      <c r="AC15"/>
    </row>
    <row r="16" spans="2:29" ht="15.75">
      <c r="B16" s="216"/>
      <c r="C16" s="283"/>
      <c r="D16" s="216" t="s">
        <v>208</v>
      </c>
      <c r="E16" s="222">
        <v>5.08</v>
      </c>
      <c r="F16" s="230" t="s">
        <v>209</v>
      </c>
      <c r="H16" s="232" t="s">
        <v>210</v>
      </c>
      <c r="I16" s="106"/>
      <c r="J16" s="96"/>
      <c r="K16" s="233" t="s">
        <v>201</v>
      </c>
      <c r="L16" s="231"/>
      <c r="M16" s="232" t="s">
        <v>210</v>
      </c>
      <c r="N16" s="106"/>
      <c r="O16" s="96"/>
      <c r="P16" s="233" t="s">
        <v>196</v>
      </c>
      <c r="R16"/>
      <c r="S16"/>
      <c r="T16"/>
      <c r="U16"/>
      <c r="V16"/>
      <c r="W16"/>
      <c r="X16"/>
      <c r="Y16"/>
      <c r="Z16"/>
      <c r="AA16"/>
      <c r="AB16"/>
      <c r="AC16"/>
    </row>
    <row r="17" spans="2:29" ht="15.75">
      <c r="B17" s="282"/>
      <c r="D17" s="216" t="s">
        <v>211</v>
      </c>
      <c r="E17" s="222">
        <v>0.95</v>
      </c>
      <c r="F17" s="230">
        <v>1.19</v>
      </c>
      <c r="H17" s="232"/>
      <c r="I17" s="106"/>
      <c r="J17" s="96"/>
      <c r="K17" s="233"/>
      <c r="L17" s="231"/>
      <c r="M17" s="232"/>
      <c r="N17" s="106"/>
      <c r="O17" s="96"/>
      <c r="P17" s="233"/>
      <c r="R17"/>
      <c r="S17"/>
      <c r="T17"/>
      <c r="U17"/>
      <c r="V17"/>
      <c r="W17"/>
      <c r="X17"/>
      <c r="Y17"/>
      <c r="Z17"/>
      <c r="AA17"/>
      <c r="AB17"/>
      <c r="AC17"/>
    </row>
    <row r="18" spans="2:29" ht="15.75">
      <c r="B18" s="306"/>
      <c r="D18" s="216" t="s">
        <v>212</v>
      </c>
      <c r="E18" s="222">
        <v>1.95</v>
      </c>
      <c r="F18" s="230">
        <v>0.82</v>
      </c>
      <c r="H18" s="234" t="s">
        <v>213</v>
      </c>
      <c r="I18" s="235"/>
      <c r="J18" s="235"/>
      <c r="K18" s="236">
        <f>E18</f>
        <v>1.95</v>
      </c>
      <c r="L18" s="231"/>
      <c r="M18" s="234" t="s">
        <v>214</v>
      </c>
      <c r="N18" s="235"/>
      <c r="O18" s="235"/>
      <c r="P18" s="236">
        <f>E17</f>
        <v>0.95</v>
      </c>
      <c r="R18"/>
      <c r="S18"/>
      <c r="T18"/>
      <c r="U18"/>
      <c r="V18"/>
      <c r="W18"/>
      <c r="X18"/>
      <c r="Y18"/>
      <c r="Z18"/>
      <c r="AA18"/>
      <c r="AB18"/>
      <c r="AC18"/>
    </row>
    <row r="19" spans="2:29" ht="16.5" thickBot="1">
      <c r="B19" s="216"/>
      <c r="C19" s="239"/>
      <c r="D19" s="216" t="s">
        <v>215</v>
      </c>
      <c r="E19" s="223">
        <v>1.71</v>
      </c>
      <c r="F19" s="240" t="s">
        <v>209</v>
      </c>
      <c r="H19" s="237" t="s">
        <v>216</v>
      </c>
      <c r="I19" s="96"/>
      <c r="J19" s="96"/>
      <c r="K19" s="238">
        <f>K9</f>
        <v>23.934999999999999</v>
      </c>
      <c r="L19" s="231"/>
      <c r="M19" s="237" t="s">
        <v>216</v>
      </c>
      <c r="N19" s="96"/>
      <c r="O19" s="96"/>
      <c r="P19" s="238">
        <f>K6</f>
        <v>35.355000000000004</v>
      </c>
      <c r="R19"/>
      <c r="S19"/>
      <c r="T19"/>
      <c r="U19"/>
      <c r="V19"/>
      <c r="W19"/>
      <c r="X19"/>
      <c r="Y19"/>
      <c r="Z19"/>
      <c r="AA19"/>
      <c r="AB19"/>
      <c r="AC19"/>
    </row>
    <row r="20" spans="2:29" ht="16.5" thickBot="1">
      <c r="B20" s="216"/>
      <c r="C20" s="239"/>
      <c r="H20" s="241" t="s">
        <v>217</v>
      </c>
      <c r="I20" s="242"/>
      <c r="J20" s="242"/>
      <c r="K20" s="309">
        <f>K18*K19</f>
        <v>46.673249999999996</v>
      </c>
      <c r="L20" s="231"/>
      <c r="M20" s="241" t="s">
        <v>217</v>
      </c>
      <c r="N20" s="242"/>
      <c r="O20" s="242"/>
      <c r="P20" s="309">
        <f>P18*P19</f>
        <v>33.587250000000004</v>
      </c>
      <c r="R20"/>
      <c r="S20"/>
      <c r="T20"/>
      <c r="U20"/>
      <c r="V20"/>
      <c r="W20"/>
      <c r="X20"/>
      <c r="Y20"/>
      <c r="Z20"/>
      <c r="AA20"/>
      <c r="AB20"/>
      <c r="AC20"/>
    </row>
    <row r="21" spans="2:29" ht="15">
      <c r="B21" s="216"/>
      <c r="C21" s="243"/>
      <c r="D21" s="243"/>
      <c r="F21"/>
      <c r="G21"/>
      <c r="H21"/>
      <c r="I21"/>
      <c r="J21"/>
      <c r="K21"/>
      <c r="L21"/>
      <c r="R21"/>
      <c r="S21"/>
      <c r="T21"/>
      <c r="U21"/>
      <c r="V21"/>
      <c r="W21"/>
      <c r="X21"/>
      <c r="Y21"/>
      <c r="Z21"/>
      <c r="AA21"/>
      <c r="AB21"/>
      <c r="AC21"/>
    </row>
    <row r="22" spans="2:29" ht="15">
      <c r="B22" s="243"/>
      <c r="E22" s="244"/>
      <c r="F22"/>
      <c r="G22"/>
      <c r="H22"/>
      <c r="I22"/>
      <c r="J22"/>
      <c r="K22"/>
      <c r="L22"/>
      <c r="R22"/>
      <c r="S22"/>
      <c r="T22"/>
      <c r="U22"/>
      <c r="V22"/>
      <c r="W22"/>
      <c r="X22"/>
      <c r="Y22"/>
      <c r="Z22"/>
      <c r="AA22"/>
      <c r="AB22"/>
      <c r="AC22"/>
    </row>
    <row r="23" spans="2:29" ht="15">
      <c r="B23"/>
      <c r="C23"/>
      <c r="D23"/>
      <c r="E23"/>
      <c r="R23"/>
      <c r="S23"/>
      <c r="T23"/>
      <c r="U23"/>
      <c r="V23"/>
      <c r="W23"/>
      <c r="X23"/>
      <c r="Y23"/>
      <c r="Z23"/>
      <c r="AA23"/>
      <c r="AB23"/>
      <c r="AC23"/>
    </row>
    <row r="24" spans="2:29" ht="45">
      <c r="B24" s="462" t="s">
        <v>218</v>
      </c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462"/>
      <c r="N24" s="462"/>
      <c r="O24" s="462"/>
      <c r="P24" s="462"/>
      <c r="Q24" s="462"/>
      <c r="R24" s="462"/>
      <c r="S24" s="462"/>
      <c r="T24" s="462"/>
      <c r="U24" s="462"/>
      <c r="V24" s="462"/>
      <c r="W24" s="462"/>
      <c r="X24" s="462"/>
      <c r="Y24"/>
      <c r="Z24"/>
      <c r="AA24"/>
      <c r="AB24"/>
      <c r="AC24"/>
    </row>
    <row r="25" spans="2:29" ht="15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2:29" ht="15.75" thickBot="1">
      <c r="B26"/>
      <c r="C26" s="466" t="s">
        <v>191</v>
      </c>
      <c r="D26" s="466"/>
      <c r="E26" s="466"/>
      <c r="F26" s="467"/>
      <c r="G26"/>
      <c r="H26"/>
      <c r="I26"/>
      <c r="J26"/>
      <c r="K26" s="466" t="s">
        <v>192</v>
      </c>
      <c r="L26" s="468"/>
      <c r="M26" s="469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2:29" ht="15.75" thickBot="1">
      <c r="B27"/>
      <c r="C27"/>
      <c r="D27"/>
      <c r="E27"/>
      <c r="F27"/>
      <c r="G27"/>
      <c r="H27"/>
      <c r="I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2:29" ht="15.75" thickBot="1">
      <c r="B28" s="2"/>
      <c r="C28" s="332" t="s">
        <v>143</v>
      </c>
      <c r="D28"/>
      <c r="E28" s="278" t="s">
        <v>144</v>
      </c>
      <c r="F28" s="279" t="s">
        <v>148</v>
      </c>
      <c r="G28" s="279" t="s">
        <v>52</v>
      </c>
      <c r="H28" s="281" t="s">
        <v>147</v>
      </c>
      <c r="J28" s="210" t="s">
        <v>193</v>
      </c>
      <c r="K28" s="245" t="s">
        <v>194</v>
      </c>
      <c r="L28" s="211" t="s">
        <v>195</v>
      </c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2:29" ht="15">
      <c r="B29" s="246" t="s">
        <v>219</v>
      </c>
      <c r="C29" s="333">
        <v>5.59</v>
      </c>
      <c r="D29"/>
      <c r="E29" s="360">
        <v>4.8099999999999996</v>
      </c>
      <c r="F29" s="361">
        <v>3.34</v>
      </c>
      <c r="G29" s="362">
        <v>3.23</v>
      </c>
      <c r="H29" s="363">
        <v>3.48</v>
      </c>
      <c r="I29" s="246" t="s">
        <v>219</v>
      </c>
      <c r="J29" s="217">
        <f>IFERROR(AVERAGE(E29:H29),"")</f>
        <v>3.7149999999999999</v>
      </c>
      <c r="K29" s="247">
        <f>IFERROR(MEDIAN(E29:H29),"")</f>
        <v>3.41</v>
      </c>
      <c r="L29" s="219">
        <f>IFERROR(ABS((J29-K29)/J29),"")</f>
        <v>8.2099596231493877E-2</v>
      </c>
      <c r="N29"/>
      <c r="O29"/>
      <c r="P29"/>
      <c r="Q29"/>
      <c r="R29"/>
      <c r="S29"/>
      <c r="T29"/>
      <c r="U29"/>
      <c r="V29"/>
      <c r="W29"/>
      <c r="X29"/>
    </row>
    <row r="30" spans="2:29" ht="15">
      <c r="B30" s="246" t="s">
        <v>220</v>
      </c>
      <c r="C30" s="334">
        <v>41.72</v>
      </c>
      <c r="D30"/>
      <c r="E30" s="220">
        <v>15.63</v>
      </c>
      <c r="F30" s="248">
        <v>23.24</v>
      </c>
      <c r="G30" s="248">
        <v>13.04</v>
      </c>
      <c r="H30" s="311">
        <v>19.47</v>
      </c>
      <c r="I30" s="246" t="s">
        <v>220</v>
      </c>
      <c r="J30" s="217">
        <f>IFERROR(AVERAGE(E30:H30),"")</f>
        <v>17.844999999999999</v>
      </c>
      <c r="K30" s="218">
        <f>IFERROR(MEDIAN(E30:H30),"")</f>
        <v>17.55</v>
      </c>
      <c r="L30" s="308">
        <f>IFERROR(ABS((J30-K30)/J30),"")</f>
        <v>1.6531241244045848E-2</v>
      </c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2:29" ht="15.75" thickBot="1">
      <c r="B31" s="246" t="s">
        <v>221</v>
      </c>
      <c r="C31" s="335">
        <v>62.34</v>
      </c>
      <c r="D31"/>
      <c r="E31" s="249">
        <v>19.100000000000001</v>
      </c>
      <c r="F31" s="250">
        <v>36.76</v>
      </c>
      <c r="G31" s="250">
        <v>16.440000000000001</v>
      </c>
      <c r="H31" s="312">
        <v>23.6</v>
      </c>
      <c r="I31" s="246" t="s">
        <v>221</v>
      </c>
      <c r="J31" s="251">
        <f>IFERROR(AVERAGE(E31:H31),"")</f>
        <v>23.975000000000001</v>
      </c>
      <c r="K31" s="225">
        <f>IFERROR(MEDIAN(E31:H31),"")</f>
        <v>21.35</v>
      </c>
      <c r="L31" s="252">
        <f>IFERROR(ABS((J31-K31)/J31),"")</f>
        <v>0.1094890510948905</v>
      </c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2:29" ht="15.75" thickBot="1">
      <c r="B32" s="246"/>
      <c r="C32" s="246"/>
      <c r="D32" s="246"/>
      <c r="E32"/>
      <c r="F32"/>
      <c r="G32"/>
      <c r="H32"/>
      <c r="I32"/>
      <c r="Q32"/>
      <c r="R32"/>
      <c r="S32"/>
      <c r="T32"/>
      <c r="U32"/>
      <c r="V32"/>
      <c r="W32"/>
      <c r="X32"/>
      <c r="Y32"/>
      <c r="Z32"/>
    </row>
    <row r="33" spans="2:26" ht="15.75" thickBot="1">
      <c r="B33" s="246"/>
      <c r="C33" s="246"/>
      <c r="D33" s="246"/>
      <c r="E33"/>
      <c r="F33"/>
      <c r="G33"/>
      <c r="H33"/>
      <c r="I33"/>
      <c r="J33"/>
      <c r="K33"/>
      <c r="L33"/>
      <c r="M33" s="395" t="s">
        <v>218</v>
      </c>
      <c r="N33" s="396"/>
      <c r="O33" s="396"/>
      <c r="P33" s="396"/>
      <c r="Q33"/>
      <c r="R33"/>
      <c r="S33"/>
      <c r="T33"/>
      <c r="U33"/>
      <c r="V33"/>
      <c r="W33"/>
      <c r="X33"/>
      <c r="Y33"/>
      <c r="Z33"/>
    </row>
    <row r="34" spans="2:26" ht="15.75" thickBot="1">
      <c r="B34" s="246"/>
      <c r="C34" s="470" t="s">
        <v>222</v>
      </c>
      <c r="D34" s="471"/>
      <c r="E34" s="471"/>
      <c r="F34" s="472"/>
      <c r="G34"/>
      <c r="H34"/>
      <c r="I34"/>
      <c r="J34"/>
      <c r="K34"/>
      <c r="L34"/>
      <c r="M34" s="397" t="s">
        <v>223</v>
      </c>
      <c r="N34" s="394"/>
      <c r="O34" s="394"/>
      <c r="P34" s="348" t="s">
        <v>220</v>
      </c>
      <c r="Q34"/>
      <c r="R34"/>
      <c r="S34"/>
      <c r="T34"/>
      <c r="U34"/>
      <c r="V34"/>
      <c r="W34"/>
      <c r="X34"/>
      <c r="Y34"/>
      <c r="Z34"/>
    </row>
    <row r="35" spans="2:26" ht="15">
      <c r="B35"/>
      <c r="C35" s="253" t="s">
        <v>223</v>
      </c>
      <c r="D35" s="96"/>
      <c r="E35" s="254"/>
      <c r="F35" s="255" t="s">
        <v>220</v>
      </c>
      <c r="G35"/>
      <c r="H35"/>
      <c r="I35"/>
      <c r="J35"/>
      <c r="K35"/>
      <c r="L35"/>
      <c r="M35" s="401" t="s">
        <v>224</v>
      </c>
      <c r="N35" s="402"/>
      <c r="O35" s="402"/>
      <c r="P35" s="404">
        <v>359.3</v>
      </c>
      <c r="Q35"/>
      <c r="R35"/>
      <c r="S35"/>
      <c r="T35"/>
      <c r="U35"/>
      <c r="V35"/>
      <c r="W35"/>
      <c r="X35"/>
      <c r="Y35"/>
      <c r="Z35"/>
    </row>
    <row r="36" spans="2:26" ht="15">
      <c r="B36"/>
      <c r="C36" s="256" t="s">
        <v>224</v>
      </c>
      <c r="D36" s="235"/>
      <c r="E36" s="257"/>
      <c r="F36" s="408">
        <v>359.3</v>
      </c>
      <c r="G36"/>
      <c r="H36"/>
      <c r="I36"/>
      <c r="J36"/>
      <c r="K36"/>
      <c r="L36"/>
      <c r="M36" s="398" t="s">
        <v>225</v>
      </c>
      <c r="N36" s="394"/>
      <c r="O36" s="394"/>
      <c r="P36" s="347">
        <v>17.55</v>
      </c>
      <c r="Q36"/>
      <c r="R36"/>
      <c r="S36"/>
      <c r="T36"/>
      <c r="U36"/>
      <c r="V36"/>
      <c r="W36"/>
      <c r="X36"/>
      <c r="Y36"/>
      <c r="Z36"/>
    </row>
    <row r="37" spans="2:26" ht="15">
      <c r="B37"/>
      <c r="C37" s="259" t="s">
        <v>225</v>
      </c>
      <c r="D37" s="96"/>
      <c r="E37" s="260"/>
      <c r="F37" s="238">
        <f>K30</f>
        <v>17.55</v>
      </c>
      <c r="G37"/>
      <c r="H37"/>
      <c r="I37"/>
      <c r="J37"/>
      <c r="K37"/>
      <c r="L37"/>
      <c r="M37" s="401" t="s">
        <v>226</v>
      </c>
      <c r="N37" s="402"/>
      <c r="O37" s="402"/>
      <c r="P37" s="403">
        <v>6305.7150000000001</v>
      </c>
      <c r="Q37"/>
      <c r="R37"/>
      <c r="S37"/>
      <c r="T37"/>
      <c r="U37"/>
      <c r="V37"/>
      <c r="W37"/>
      <c r="X37"/>
      <c r="Y37"/>
      <c r="Z37"/>
    </row>
    <row r="38" spans="2:26" ht="15">
      <c r="B38"/>
      <c r="C38" s="256" t="s">
        <v>226</v>
      </c>
      <c r="D38" s="235"/>
      <c r="E38" s="257"/>
      <c r="F38" s="258">
        <f>F36*F37</f>
        <v>6305.7150000000001</v>
      </c>
      <c r="G38"/>
      <c r="H38"/>
      <c r="I38"/>
      <c r="J38"/>
      <c r="K38"/>
      <c r="L38"/>
      <c r="M38" s="398" t="s">
        <v>227</v>
      </c>
      <c r="N38" s="394"/>
      <c r="O38" s="394"/>
      <c r="P38" s="349">
        <v>-384.8</v>
      </c>
      <c r="Q38"/>
      <c r="R38"/>
      <c r="S38"/>
      <c r="T38"/>
      <c r="U38"/>
      <c r="V38"/>
      <c r="W38"/>
      <c r="X38"/>
    </row>
    <row r="39" spans="2:26" ht="15">
      <c r="B39"/>
      <c r="C39" s="259" t="s">
        <v>227</v>
      </c>
      <c r="D39" s="96"/>
      <c r="E39" s="261"/>
      <c r="F39" s="262">
        <v>-384.8</v>
      </c>
      <c r="G39"/>
      <c r="H39"/>
      <c r="I39"/>
      <c r="J39"/>
      <c r="K39"/>
      <c r="L39"/>
      <c r="M39" s="401" t="s">
        <v>228</v>
      </c>
      <c r="N39" s="402"/>
      <c r="O39" s="402"/>
      <c r="P39" s="403">
        <v>0</v>
      </c>
      <c r="Q39"/>
      <c r="R39"/>
      <c r="S39"/>
      <c r="T39"/>
      <c r="U39"/>
      <c r="V39"/>
      <c r="W39"/>
      <c r="X39"/>
    </row>
    <row r="40" spans="2:26" ht="15">
      <c r="B40"/>
      <c r="C40" s="256" t="s">
        <v>228</v>
      </c>
      <c r="D40" s="235"/>
      <c r="E40" s="257"/>
      <c r="F40" s="258">
        <v>0</v>
      </c>
      <c r="G40" s="263"/>
      <c r="H40"/>
      <c r="I40"/>
      <c r="J40"/>
      <c r="K40"/>
      <c r="L40"/>
      <c r="M40" s="398" t="s">
        <v>229</v>
      </c>
      <c r="N40" s="394"/>
      <c r="O40" s="394"/>
      <c r="P40" s="350">
        <v>1080.3</v>
      </c>
      <c r="Q40"/>
      <c r="R40"/>
      <c r="S40"/>
      <c r="T40"/>
      <c r="U40"/>
      <c r="V40"/>
      <c r="W40"/>
      <c r="X40"/>
    </row>
    <row r="41" spans="2:26" ht="15">
      <c r="B41"/>
      <c r="C41" s="259" t="s">
        <v>229</v>
      </c>
      <c r="D41" s="96"/>
      <c r="E41" s="261"/>
      <c r="F41" s="264">
        <v>1080.3</v>
      </c>
      <c r="G41"/>
      <c r="H41"/>
      <c r="I41"/>
      <c r="J41"/>
      <c r="K41"/>
      <c r="L41"/>
      <c r="M41" s="401" t="s">
        <v>230</v>
      </c>
      <c r="N41" s="402"/>
      <c r="O41" s="402"/>
      <c r="P41" s="403">
        <v>7001.2150000000001</v>
      </c>
      <c r="Q41"/>
      <c r="R41"/>
      <c r="S41"/>
      <c r="T41"/>
      <c r="U41"/>
      <c r="V41"/>
      <c r="W41"/>
      <c r="X41"/>
    </row>
    <row r="42" spans="2:26" ht="15.75" thickBot="1">
      <c r="B42"/>
      <c r="C42" s="256" t="s">
        <v>230</v>
      </c>
      <c r="D42" s="235"/>
      <c r="E42" s="257"/>
      <c r="F42" s="258">
        <f>SUM(F38:F41)</f>
        <v>7001.2150000000001</v>
      </c>
      <c r="G42"/>
      <c r="H42"/>
      <c r="I42"/>
      <c r="J42"/>
      <c r="K42"/>
      <c r="L42"/>
      <c r="M42" s="398" t="s">
        <v>122</v>
      </c>
      <c r="N42" s="394"/>
      <c r="O42" s="394"/>
      <c r="P42" s="351">
        <v>289.3</v>
      </c>
      <c r="Q42"/>
      <c r="R42"/>
      <c r="S42"/>
      <c r="T42"/>
      <c r="U42"/>
      <c r="V42"/>
      <c r="W42"/>
      <c r="X42"/>
    </row>
    <row r="43" spans="2:26" ht="15.75" thickBot="1">
      <c r="B43"/>
      <c r="C43" s="265" t="s">
        <v>122</v>
      </c>
      <c r="D43" s="96"/>
      <c r="E43" s="266"/>
      <c r="F43" s="267">
        <v>289.3</v>
      </c>
      <c r="G43"/>
      <c r="H43"/>
      <c r="I43"/>
      <c r="J43"/>
      <c r="K43"/>
      <c r="L43"/>
      <c r="M43" s="405" t="s">
        <v>217</v>
      </c>
      <c r="N43" s="406"/>
      <c r="O43" s="406"/>
      <c r="P43" s="407">
        <v>24.200535776011062</v>
      </c>
      <c r="Q43"/>
      <c r="R43"/>
      <c r="S43"/>
      <c r="T43"/>
      <c r="U43"/>
      <c r="V43"/>
      <c r="W43"/>
      <c r="X43"/>
    </row>
    <row r="44" spans="2:26" ht="15.75" thickBot="1">
      <c r="B44"/>
      <c r="C44" s="268" t="s">
        <v>217</v>
      </c>
      <c r="D44" s="242"/>
      <c r="E44" s="269"/>
      <c r="F44" s="313">
        <f>F42/F43</f>
        <v>24.200535776011062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2:26" ht="15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2:26" ht="15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2:26" ht="15"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</sheetData>
  <mergeCells count="10">
    <mergeCell ref="B24:X24"/>
    <mergeCell ref="C26:F26"/>
    <mergeCell ref="K26:M26"/>
    <mergeCell ref="C34:F34"/>
    <mergeCell ref="B1:X1"/>
    <mergeCell ref="C3:F3"/>
    <mergeCell ref="K3:M3"/>
    <mergeCell ref="C12:F12"/>
    <mergeCell ref="H15:K15"/>
    <mergeCell ref="M15:P15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1301E-62B4-4888-B54B-C2FCA256270F}">
  <sheetPr>
    <tabColor rgb="FFFFFF00"/>
  </sheetPr>
  <dimension ref="B1:W28"/>
  <sheetViews>
    <sheetView showGridLines="0" topLeftCell="A2" zoomScale="120" zoomScaleNormal="120" workbookViewId="0">
      <selection activeCell="K26" sqref="K26"/>
    </sheetView>
  </sheetViews>
  <sheetFormatPr defaultColWidth="8.85546875" defaultRowHeight="15"/>
  <cols>
    <col min="2" max="2" width="17.42578125" customWidth="1"/>
    <col min="3" max="3" width="13.42578125" customWidth="1"/>
    <col min="4" max="4" width="10.42578125" bestFit="1" customWidth="1"/>
    <col min="5" max="5" width="10.42578125" customWidth="1"/>
    <col min="9" max="9" width="8.85546875" bestFit="1" customWidth="1"/>
    <col min="10" max="14" width="10.140625" bestFit="1" customWidth="1"/>
    <col min="15" max="16" width="10.28515625" bestFit="1" customWidth="1"/>
    <col min="17" max="17" width="8.85546875" bestFit="1" customWidth="1"/>
    <col min="18" max="20" width="10.28515625" bestFit="1" customWidth="1"/>
  </cols>
  <sheetData>
    <row r="1" spans="2:23" ht="45.75">
      <c r="B1" s="444" t="s">
        <v>27</v>
      </c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</row>
    <row r="2" spans="2:23" ht="15.75" thickBot="1"/>
    <row r="3" spans="2:23" ht="15.75" thickBot="1">
      <c r="B3" s="343" t="s">
        <v>28</v>
      </c>
      <c r="C3" s="344"/>
      <c r="D3" s="344"/>
      <c r="E3" s="344"/>
      <c r="F3" s="345"/>
      <c r="G3" s="143" t="s">
        <v>29</v>
      </c>
    </row>
    <row r="4" spans="2:23">
      <c r="B4" s="320" t="s">
        <v>30</v>
      </c>
      <c r="C4" s="316"/>
      <c r="D4" s="322" t="s">
        <v>31</v>
      </c>
      <c r="E4" s="322" t="s">
        <v>32</v>
      </c>
      <c r="F4" s="324" t="s">
        <v>33</v>
      </c>
      <c r="G4" s="323">
        <v>48.32</v>
      </c>
      <c r="J4" s="143">
        <v>2024</v>
      </c>
      <c r="K4" s="143">
        <v>2025</v>
      </c>
      <c r="L4" s="143">
        <v>2026</v>
      </c>
      <c r="M4" s="143">
        <v>2027</v>
      </c>
      <c r="N4" s="143">
        <v>2028</v>
      </c>
      <c r="O4" s="143">
        <v>2029</v>
      </c>
      <c r="P4" s="143">
        <v>2030</v>
      </c>
    </row>
    <row r="5" spans="2:23">
      <c r="B5" s="317"/>
      <c r="C5" s="143" t="s">
        <v>34</v>
      </c>
      <c r="D5" s="323">
        <f>'[1]Direct Valuation'!K20</f>
        <v>46.673249999999996</v>
      </c>
      <c r="E5" s="381">
        <v>0.1</v>
      </c>
      <c r="F5" s="346">
        <f>(D5-$G$4)/$G$4</f>
        <v>-3.4080091059602739E-2</v>
      </c>
      <c r="G5" s="325"/>
      <c r="J5" s="382">
        <v>2633</v>
      </c>
      <c r="K5" s="382">
        <v>3159.6</v>
      </c>
      <c r="L5" s="382">
        <v>3728.3279999999995</v>
      </c>
      <c r="M5" s="382">
        <v>4324.8604799999994</v>
      </c>
      <c r="N5" s="382">
        <v>4973.5895519999985</v>
      </c>
      <c r="O5" s="382">
        <v>5669.8920892799988</v>
      </c>
      <c r="P5" s="382">
        <v>6406.9780608863985</v>
      </c>
    </row>
    <row r="6" spans="2:23">
      <c r="B6" s="318"/>
      <c r="C6" s="143" t="s">
        <v>35</v>
      </c>
      <c r="D6" s="326">
        <f>'[1]Indirect Valuation'!F21</f>
        <v>24.200535776011062</v>
      </c>
      <c r="E6" s="342">
        <v>0.1</v>
      </c>
      <c r="F6" s="346">
        <f t="shared" ref="F6:F12" si="0">(D6-$G$4)/$G$4</f>
        <v>-0.49916109735076447</v>
      </c>
      <c r="G6" s="143"/>
    </row>
    <row r="7" spans="2:23">
      <c r="B7" s="321" t="s">
        <v>36</v>
      </c>
      <c r="D7" s="323"/>
      <c r="E7" s="323"/>
      <c r="F7" s="346"/>
      <c r="G7" s="143"/>
    </row>
    <row r="8" spans="2:23">
      <c r="B8" s="318"/>
      <c r="C8" s="143" t="s">
        <v>37</v>
      </c>
      <c r="D8" s="326">
        <f>'[1]H-Model - Conservative'!L27</f>
        <v>73.607204980053737</v>
      </c>
      <c r="E8" s="326"/>
      <c r="F8" s="346">
        <f t="shared" si="0"/>
        <v>0.52332791763356246</v>
      </c>
      <c r="G8" s="143"/>
      <c r="H8" s="143" t="s">
        <v>38</v>
      </c>
    </row>
    <row r="9" spans="2:23">
      <c r="B9" s="318"/>
      <c r="C9" s="143" t="s">
        <v>39</v>
      </c>
      <c r="D9" s="326">
        <f>'[1]H-Model Realistic'!L27</f>
        <v>100.22609674801987</v>
      </c>
      <c r="E9" s="342">
        <v>0.8</v>
      </c>
      <c r="F9" s="346">
        <f t="shared" si="0"/>
        <v>1.0742155783944509</v>
      </c>
      <c r="G9" s="143"/>
      <c r="H9" s="328">
        <f>(P5/J5)^(1/6)-1</f>
        <v>0.15975716147784236</v>
      </c>
    </row>
    <row r="10" spans="2:23">
      <c r="B10" s="318"/>
      <c r="C10" s="143" t="s">
        <v>40</v>
      </c>
      <c r="D10" s="326">
        <f>'[1]EBIT Multiple Model '!L24</f>
        <v>74.035323039607263</v>
      </c>
      <c r="E10" s="326"/>
      <c r="F10" s="346">
        <f>(D10-$G$4)/$G$4</f>
        <v>0.53218797681306418</v>
      </c>
      <c r="G10" s="143"/>
    </row>
    <row r="11" spans="2:23">
      <c r="B11" s="318"/>
      <c r="C11" s="143" t="s">
        <v>41</v>
      </c>
      <c r="D11" s="326">
        <f>'[1]EBITDA Multiple Model'!L24</f>
        <v>84.50433288338057</v>
      </c>
      <c r="E11" s="326"/>
      <c r="F11" s="346">
        <f t="shared" si="0"/>
        <v>0.74884794874545879</v>
      </c>
      <c r="G11" s="143"/>
    </row>
    <row r="12" spans="2:23" ht="15.75" thickBot="1">
      <c r="B12" s="327" t="s">
        <v>42</v>
      </c>
      <c r="C12" s="319"/>
      <c r="D12" s="354">
        <f>(D9*E9)+(D5*E5)+(D6*E6)</f>
        <v>87.268255976017016</v>
      </c>
      <c r="E12" s="355">
        <v>1</v>
      </c>
      <c r="F12" s="356">
        <f t="shared" si="0"/>
        <v>0.80604834387452429</v>
      </c>
      <c r="G12" s="143"/>
    </row>
    <row r="13" spans="2:23">
      <c r="D13" s="143"/>
      <c r="E13" s="143"/>
      <c r="F13" s="143"/>
      <c r="G13" s="143"/>
    </row>
    <row r="15" spans="2:23">
      <c r="B15" s="2"/>
    </row>
    <row r="23" spans="2:20" ht="15.75" thickBot="1">
      <c r="B23" s="2"/>
    </row>
    <row r="24" spans="2:20">
      <c r="B24" s="383" t="s">
        <v>28</v>
      </c>
      <c r="C24" s="384"/>
      <c r="D24" s="385" t="s">
        <v>43</v>
      </c>
    </row>
    <row r="25" spans="2:20">
      <c r="B25" s="317" t="s">
        <v>44</v>
      </c>
      <c r="C25" s="386">
        <f>D9</f>
        <v>100.22609674801987</v>
      </c>
      <c r="D25" s="387">
        <f>E9</f>
        <v>0.8</v>
      </c>
    </row>
    <row r="26" spans="2:20">
      <c r="B26" s="317" t="s">
        <v>45</v>
      </c>
      <c r="C26" s="386">
        <f>D5</f>
        <v>46.673249999999996</v>
      </c>
      <c r="D26" s="387">
        <f>E5</f>
        <v>0.1</v>
      </c>
    </row>
    <row r="27" spans="2:20" ht="15.75" thickBot="1">
      <c r="B27" s="317" t="s">
        <v>46</v>
      </c>
      <c r="C27" s="386">
        <f>D6</f>
        <v>24.200535776011062</v>
      </c>
      <c r="D27" s="387">
        <f>E6</f>
        <v>0.1</v>
      </c>
      <c r="I27" s="143">
        <v>2019</v>
      </c>
      <c r="J27" s="143">
        <v>2020</v>
      </c>
      <c r="K27" s="143">
        <v>2021</v>
      </c>
      <c r="L27" s="143">
        <v>2022</v>
      </c>
      <c r="M27" s="143">
        <v>2023</v>
      </c>
      <c r="N27" s="143">
        <v>2024</v>
      </c>
      <c r="O27" s="143">
        <v>2025</v>
      </c>
      <c r="P27" s="143">
        <v>2026</v>
      </c>
      <c r="Q27" s="143">
        <v>2027</v>
      </c>
      <c r="R27" s="143">
        <v>2028</v>
      </c>
      <c r="S27" s="143">
        <v>2029</v>
      </c>
      <c r="T27" s="143">
        <v>2030</v>
      </c>
    </row>
    <row r="28" spans="2:20" ht="15.75" thickBot="1">
      <c r="B28" s="388" t="s">
        <v>47</v>
      </c>
      <c r="C28" s="389"/>
      <c r="D28" s="352">
        <f>D12</f>
        <v>87.268255976017016</v>
      </c>
      <c r="I28" s="390">
        <v>11.1</v>
      </c>
      <c r="J28" s="390">
        <v>-5.3</v>
      </c>
      <c r="K28" s="390">
        <v>-111.6</v>
      </c>
      <c r="L28" s="390">
        <v>138.69999999999999</v>
      </c>
      <c r="M28" s="390">
        <v>272.89999999999998</v>
      </c>
      <c r="N28" s="390">
        <v>359.3</v>
      </c>
      <c r="O28" s="390">
        <v>500.34688000000011</v>
      </c>
      <c r="P28" s="390">
        <v>667.56160000000011</v>
      </c>
      <c r="Q28" s="390">
        <v>865.14559200000031</v>
      </c>
      <c r="R28" s="390">
        <v>1100.1204033600004</v>
      </c>
      <c r="S28" s="390">
        <v>1365.1022288904005</v>
      </c>
      <c r="T28" s="390">
        <v>1615.7568625561448</v>
      </c>
    </row>
  </sheetData>
  <mergeCells count="1">
    <mergeCell ref="B1:W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FB972-08B0-4768-AB68-D89C7F189AD5}">
  <sheetPr>
    <tabColor rgb="FF002060"/>
  </sheetPr>
  <dimension ref="B1:W36"/>
  <sheetViews>
    <sheetView showGridLines="0" zoomScale="112" zoomScaleNormal="85" workbookViewId="0">
      <selection activeCell="K26" sqref="K26"/>
    </sheetView>
  </sheetViews>
  <sheetFormatPr defaultColWidth="8.85546875" defaultRowHeight="15"/>
  <cols>
    <col min="2" max="2" width="33" customWidth="1"/>
    <col min="3" max="3" width="15.85546875" bestFit="1" customWidth="1"/>
    <col min="4" max="4" width="14.42578125" bestFit="1" customWidth="1"/>
    <col min="5" max="5" width="12.140625" customWidth="1"/>
    <col min="9" max="9" width="8.85546875" bestFit="1" customWidth="1"/>
    <col min="10" max="14" width="10.140625" bestFit="1" customWidth="1"/>
    <col min="15" max="16" width="10.28515625" bestFit="1" customWidth="1"/>
    <col min="17" max="17" width="8.85546875" bestFit="1" customWidth="1"/>
    <col min="18" max="20" width="10.28515625" bestFit="1" customWidth="1"/>
  </cols>
  <sheetData>
    <row r="1" spans="2:23" ht="45.75">
      <c r="B1" s="444" t="s">
        <v>27</v>
      </c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</row>
    <row r="2" spans="2:23" ht="15.75" thickBot="1"/>
    <row r="3" spans="2:23" ht="15.75" thickBot="1">
      <c r="B3" s="343" t="s">
        <v>28</v>
      </c>
      <c r="C3" s="344"/>
      <c r="D3" s="344"/>
      <c r="E3" s="344"/>
      <c r="F3" s="345"/>
      <c r="G3" s="143" t="s">
        <v>29</v>
      </c>
    </row>
    <row r="4" spans="2:23">
      <c r="B4" s="320" t="s">
        <v>30</v>
      </c>
      <c r="C4" s="316"/>
      <c r="D4" s="322" t="s">
        <v>31</v>
      </c>
      <c r="E4" s="322" t="s">
        <v>32</v>
      </c>
      <c r="F4" s="324" t="s">
        <v>33</v>
      </c>
      <c r="G4" s="323">
        <v>48.32</v>
      </c>
    </row>
    <row r="5" spans="2:23">
      <c r="B5" s="317"/>
      <c r="C5" s="143" t="s">
        <v>34</v>
      </c>
      <c r="D5" s="323">
        <f>'Multiples Valuations'!K20</f>
        <v>46.673249999999996</v>
      </c>
      <c r="E5" s="381">
        <v>0.1</v>
      </c>
      <c r="F5" s="346">
        <f>(D5-$G$4)/$G$4</f>
        <v>-3.4080091059602739E-2</v>
      </c>
      <c r="G5" s="325"/>
    </row>
    <row r="6" spans="2:23">
      <c r="B6" s="318"/>
      <c r="C6" s="143" t="s">
        <v>35</v>
      </c>
      <c r="D6" s="326">
        <f>'Multiples Valuations'!F44</f>
        <v>24.200535776011062</v>
      </c>
      <c r="E6" s="342">
        <v>0.1</v>
      </c>
      <c r="F6" s="346">
        <f t="shared" ref="F6:F12" si="0">(D6-$G$4)/$G$4</f>
        <v>-0.49916109735076447</v>
      </c>
      <c r="G6" s="143"/>
    </row>
    <row r="7" spans="2:23">
      <c r="B7" s="321" t="s">
        <v>36</v>
      </c>
      <c r="D7" s="323"/>
      <c r="E7" s="323"/>
      <c r="F7" s="346"/>
      <c r="G7" s="143"/>
    </row>
    <row r="8" spans="2:23">
      <c r="B8" s="318"/>
      <c r="C8" s="143" t="s">
        <v>37</v>
      </c>
      <c r="D8" s="326" t="e">
        <f>#REF!</f>
        <v>#REF!</v>
      </c>
      <c r="E8" s="326"/>
      <c r="F8" s="346" t="e">
        <f t="shared" si="0"/>
        <v>#REF!</v>
      </c>
      <c r="G8" s="143"/>
      <c r="H8" s="143"/>
    </row>
    <row r="9" spans="2:23">
      <c r="B9" s="318"/>
      <c r="C9" s="143" t="s">
        <v>39</v>
      </c>
      <c r="D9" s="326" t="e">
        <f>#REF!</f>
        <v>#REF!</v>
      </c>
      <c r="E9" s="342">
        <v>0.8</v>
      </c>
      <c r="F9" s="346" t="e">
        <f>(D9-$G$4)/$G$4</f>
        <v>#REF!</v>
      </c>
      <c r="G9" s="143"/>
      <c r="H9" s="328"/>
    </row>
    <row r="10" spans="2:23">
      <c r="B10" s="318"/>
      <c r="C10" s="143" t="s">
        <v>40</v>
      </c>
      <c r="D10" s="326">
        <f>'EBIT Multiple Model '!L24</f>
        <v>151.83203720056576</v>
      </c>
      <c r="E10" s="326"/>
      <c r="F10" s="346">
        <f>(D10-$G$4)/$G$4</f>
        <v>2.142219312925616</v>
      </c>
      <c r="G10" s="143"/>
    </row>
    <row r="11" spans="2:23">
      <c r="B11" s="318"/>
      <c r="C11" s="143" t="s">
        <v>41</v>
      </c>
      <c r="D11" s="326" t="e">
        <f>#REF!</f>
        <v>#REF!</v>
      </c>
      <c r="E11" s="326"/>
      <c r="F11" s="346" t="e">
        <f t="shared" si="0"/>
        <v>#REF!</v>
      </c>
      <c r="G11" s="143"/>
    </row>
    <row r="12" spans="2:23" ht="15.75" thickBot="1">
      <c r="B12" s="327" t="s">
        <v>42</v>
      </c>
      <c r="C12" s="319"/>
      <c r="D12" s="354" t="e">
        <f>(D9*E9)+(D5*E5)+(D6*E6)</f>
        <v>#REF!</v>
      </c>
      <c r="E12" s="355">
        <v>1</v>
      </c>
      <c r="F12" s="356" t="e">
        <f t="shared" si="0"/>
        <v>#REF!</v>
      </c>
      <c r="G12" s="143"/>
    </row>
    <row r="13" spans="2:23">
      <c r="D13" s="143"/>
      <c r="E13" s="143"/>
      <c r="F13" s="143"/>
      <c r="G13" s="143"/>
    </row>
    <row r="14" spans="2:23">
      <c r="B14" s="371" t="s">
        <v>48</v>
      </c>
      <c r="C14" s="367"/>
      <c r="D14" s="367"/>
      <c r="E14" s="367"/>
    </row>
    <row r="15" spans="2:23">
      <c r="B15" s="368"/>
      <c r="C15" s="373">
        <v>2024</v>
      </c>
      <c r="D15" s="373">
        <v>2023</v>
      </c>
      <c r="E15" s="373">
        <v>2022</v>
      </c>
      <c r="G15">
        <v>1.1299999999999999</v>
      </c>
    </row>
    <row r="16" spans="2:23">
      <c r="B16" s="370" t="s">
        <v>49</v>
      </c>
      <c r="C16" s="372">
        <f>9.6*$G$15</f>
        <v>10.847999999999999</v>
      </c>
      <c r="D16" s="372">
        <f>8.9*G15</f>
        <v>10.056999999999999</v>
      </c>
      <c r="E16" s="372">
        <f>8.2*G15</f>
        <v>9.2659999999999982</v>
      </c>
      <c r="I16" s="372">
        <v>10.847999999999999</v>
      </c>
      <c r="J16" s="372">
        <v>10.056999999999999</v>
      </c>
      <c r="K16" s="372">
        <v>9.2659999999999982</v>
      </c>
    </row>
    <row r="17" spans="2:12">
      <c r="B17" s="370" t="s">
        <v>50</v>
      </c>
      <c r="C17" s="377">
        <v>2633</v>
      </c>
      <c r="D17" s="377">
        <v>1995.5</v>
      </c>
      <c r="E17" s="377">
        <v>1280.5999999999999</v>
      </c>
      <c r="I17" s="372">
        <v>2633</v>
      </c>
      <c r="J17" s="372">
        <v>1995.5</v>
      </c>
      <c r="K17" s="372">
        <v>1280.5999999999999</v>
      </c>
    </row>
    <row r="18" spans="2:12">
      <c r="B18" s="370" t="s">
        <v>51</v>
      </c>
      <c r="C18" s="369">
        <f>C16/C17</f>
        <v>4.1200151917964297E-3</v>
      </c>
      <c r="D18" s="369">
        <f t="shared" ref="D18:E18" si="1">D16/D17</f>
        <v>5.0398396391881728E-3</v>
      </c>
      <c r="E18" s="369">
        <f t="shared" si="1"/>
        <v>7.2356707793221915E-3</v>
      </c>
      <c r="I18" s="366">
        <f>I16/I17</f>
        <v>4.1200151917964297E-3</v>
      </c>
      <c r="J18" s="366">
        <f t="shared" ref="J18:K18" si="2">J16/J17</f>
        <v>5.0398396391881728E-3</v>
      </c>
      <c r="K18" s="366">
        <f t="shared" si="2"/>
        <v>7.2356707793221915E-3</v>
      </c>
    </row>
    <row r="20" spans="2:12">
      <c r="B20" s="371" t="s">
        <v>52</v>
      </c>
      <c r="I20" s="370" t="s">
        <v>53</v>
      </c>
    </row>
    <row r="21" spans="2:12">
      <c r="C21" s="373">
        <v>2024</v>
      </c>
      <c r="D21" s="373">
        <v>2023</v>
      </c>
      <c r="E21" s="373">
        <v>2022</v>
      </c>
      <c r="J21" s="373">
        <v>2024</v>
      </c>
      <c r="K21" s="373">
        <v>2023</v>
      </c>
      <c r="L21" s="373">
        <v>2022</v>
      </c>
    </row>
    <row r="22" spans="2:12">
      <c r="B22" s="370" t="s">
        <v>49</v>
      </c>
      <c r="C22" s="375">
        <v>49171</v>
      </c>
      <c r="D22" s="375">
        <v>38657</v>
      </c>
      <c r="E22" s="375">
        <v>33344</v>
      </c>
      <c r="I22" t="s">
        <v>54</v>
      </c>
      <c r="J22">
        <v>878</v>
      </c>
      <c r="K22">
        <v>548</v>
      </c>
    </row>
    <row r="23" spans="2:12">
      <c r="B23" s="370" t="s">
        <v>50</v>
      </c>
      <c r="C23" s="377">
        <v>4287763</v>
      </c>
      <c r="D23" s="377">
        <v>3627286</v>
      </c>
      <c r="E23" s="377">
        <v>660477</v>
      </c>
      <c r="I23" s="370" t="s">
        <v>50</v>
      </c>
    </row>
    <row r="24" spans="2:12">
      <c r="B24" s="370" t="s">
        <v>51</v>
      </c>
      <c r="C24" s="369">
        <f>C22/C23</f>
        <v>1.1467751365922044E-2</v>
      </c>
      <c r="D24" s="369">
        <f t="shared" ref="D24" si="3">D22/D23</f>
        <v>1.0657279299178504E-2</v>
      </c>
      <c r="E24" s="369">
        <f t="shared" ref="E24" si="4">E22/E23</f>
        <v>5.0484725433285339E-2</v>
      </c>
      <c r="I24" s="370" t="s">
        <v>51</v>
      </c>
    </row>
    <row r="26" spans="2:12">
      <c r="B26" s="371" t="s">
        <v>55</v>
      </c>
    </row>
    <row r="27" spans="2:12">
      <c r="C27" s="373">
        <v>2024</v>
      </c>
      <c r="D27" s="373">
        <v>2023</v>
      </c>
      <c r="E27" s="373"/>
    </row>
    <row r="28" spans="2:12">
      <c r="B28" s="370" t="s">
        <v>56</v>
      </c>
      <c r="C28" s="375">
        <v>71579</v>
      </c>
      <c r="D28" s="375">
        <v>48922</v>
      </c>
      <c r="E28" s="375"/>
      <c r="F28" s="376"/>
      <c r="G28" t="s">
        <v>57</v>
      </c>
      <c r="I28" t="s">
        <v>58</v>
      </c>
      <c r="J28" s="374">
        <v>2239132</v>
      </c>
      <c r="K28" s="374">
        <v>1929211</v>
      </c>
    </row>
    <row r="29" spans="2:12">
      <c r="B29" s="370" t="s">
        <v>59</v>
      </c>
      <c r="C29" s="375">
        <v>10588126</v>
      </c>
      <c r="D29" s="377">
        <v>9619278</v>
      </c>
      <c r="E29" s="377"/>
      <c r="F29" s="376"/>
      <c r="I29" t="s">
        <v>60</v>
      </c>
      <c r="J29" s="374">
        <v>1806740</v>
      </c>
      <c r="K29" s="374">
        <v>1412916</v>
      </c>
    </row>
    <row r="30" spans="2:12">
      <c r="B30" s="370" t="s">
        <v>51</v>
      </c>
      <c r="C30" s="369">
        <f>C28/C29</f>
        <v>6.7603086702972747E-3</v>
      </c>
      <c r="D30" s="369">
        <f t="shared" ref="D30" si="5">D28/D29</f>
        <v>5.0858286869347163E-3</v>
      </c>
      <c r="E30" s="369"/>
      <c r="F30" s="376"/>
      <c r="I30" t="s">
        <v>47</v>
      </c>
      <c r="J30" s="377">
        <v>4287763</v>
      </c>
      <c r="K30" s="377">
        <v>3627286</v>
      </c>
    </row>
    <row r="31" spans="2:12">
      <c r="I31" t="s">
        <v>61</v>
      </c>
      <c r="J31" s="365">
        <f>J29/J30</f>
        <v>0.42137123716959168</v>
      </c>
      <c r="K31" s="365">
        <f>K29/K30</f>
        <v>0.38952428895874214</v>
      </c>
    </row>
    <row r="32" spans="2:12">
      <c r="B32" s="371" t="s">
        <v>62</v>
      </c>
      <c r="C32" s="373">
        <v>2024</v>
      </c>
      <c r="D32" s="373">
        <v>2023</v>
      </c>
      <c r="E32" s="373">
        <v>2022</v>
      </c>
      <c r="I32" t="s">
        <v>63</v>
      </c>
      <c r="J32" s="365">
        <f>J28/J30</f>
        <v>0.52221449739642789</v>
      </c>
      <c r="K32" s="365">
        <f>K28/K30</f>
        <v>0.53186073554718316</v>
      </c>
    </row>
    <row r="33" spans="2:5">
      <c r="C33" s="374"/>
      <c r="D33" s="374"/>
    </row>
    <row r="34" spans="2:5">
      <c r="B34" s="370" t="s">
        <v>49</v>
      </c>
      <c r="D34" s="379">
        <v>6607</v>
      </c>
      <c r="E34" s="379">
        <v>6085</v>
      </c>
    </row>
    <row r="35" spans="2:5">
      <c r="B35" s="370" t="s">
        <v>50</v>
      </c>
      <c r="D35" s="379">
        <v>570463</v>
      </c>
      <c r="E35" s="379">
        <v>484601</v>
      </c>
    </row>
    <row r="36" spans="2:5">
      <c r="B36" s="370" t="s">
        <v>51</v>
      </c>
      <c r="D36" s="378">
        <f>D34/D35</f>
        <v>1.1581820380988777E-2</v>
      </c>
      <c r="E36" s="378">
        <f>E34/E35</f>
        <v>1.2556721921745931E-2</v>
      </c>
    </row>
  </sheetData>
  <mergeCells count="1">
    <mergeCell ref="B1:W1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F58BE-928F-4229-BD33-65BBE915B4C2}">
  <sheetPr>
    <tabColor rgb="FF002060"/>
  </sheetPr>
  <dimension ref="B1:V31"/>
  <sheetViews>
    <sheetView showGridLines="0" zoomScaleNormal="100" workbookViewId="0">
      <selection activeCell="E13" sqref="E13"/>
    </sheetView>
  </sheetViews>
  <sheetFormatPr defaultColWidth="9.140625" defaultRowHeight="15"/>
  <cols>
    <col min="1" max="1" width="9.140625" style="96"/>
    <col min="2" max="2" width="43.28515625" style="96" bestFit="1" customWidth="1"/>
    <col min="3" max="9" width="16.42578125" style="96" customWidth="1"/>
    <col min="10" max="10" width="11" style="96" customWidth="1"/>
    <col min="11" max="11" width="9.140625" style="96"/>
    <col min="12" max="12" width="19.28515625" style="96" customWidth="1"/>
    <col min="13" max="13" width="41.42578125" style="96" customWidth="1"/>
    <col min="14" max="14" width="10.42578125" style="96" customWidth="1"/>
    <col min="15" max="15" width="10.42578125" style="96" bestFit="1" customWidth="1"/>
    <col min="16" max="16" width="11" style="96" bestFit="1" customWidth="1"/>
    <col min="17" max="19" width="12.140625" style="96" bestFit="1" customWidth="1"/>
    <col min="20" max="16384" width="9.140625" style="96"/>
  </cols>
  <sheetData>
    <row r="1" spans="2:22" ht="45.75">
      <c r="B1" s="444" t="s">
        <v>64</v>
      </c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</row>
    <row r="2" spans="2:22" ht="15" customHeight="1" thickBot="1">
      <c r="L2"/>
      <c r="M2"/>
      <c r="N2"/>
      <c r="O2"/>
      <c r="P2"/>
      <c r="Q2"/>
      <c r="R2"/>
      <c r="S2"/>
      <c r="T2"/>
      <c r="U2"/>
      <c r="V2"/>
    </row>
    <row r="3" spans="2:22" ht="15" customHeight="1" thickBot="1">
      <c r="B3" s="297"/>
      <c r="C3" s="445" t="s">
        <v>65</v>
      </c>
      <c r="D3" s="446"/>
      <c r="E3" s="446"/>
      <c r="F3" s="446"/>
      <c r="G3" s="446"/>
      <c r="H3" s="409"/>
      <c r="I3" s="298"/>
      <c r="L3"/>
      <c r="M3"/>
      <c r="N3"/>
      <c r="O3"/>
      <c r="P3"/>
      <c r="Q3"/>
      <c r="R3"/>
      <c r="S3"/>
      <c r="T3"/>
      <c r="U3"/>
      <c r="V3"/>
    </row>
    <row r="4" spans="2:22" ht="15" customHeight="1">
      <c r="B4" s="299" t="s">
        <v>66</v>
      </c>
      <c r="C4" s="410">
        <v>2019</v>
      </c>
      <c r="D4" s="410">
        <v>2020</v>
      </c>
      <c r="E4" s="410">
        <v>2021</v>
      </c>
      <c r="F4" s="410">
        <v>2022</v>
      </c>
      <c r="G4" s="410">
        <v>2023</v>
      </c>
      <c r="H4" s="410">
        <v>2024</v>
      </c>
      <c r="I4" s="435">
        <v>2025</v>
      </c>
      <c r="J4"/>
      <c r="K4"/>
      <c r="L4"/>
      <c r="M4"/>
      <c r="N4"/>
      <c r="O4"/>
      <c r="P4"/>
      <c r="Q4"/>
      <c r="R4"/>
      <c r="S4"/>
      <c r="T4"/>
      <c r="U4"/>
      <c r="V4"/>
    </row>
    <row r="5" spans="2:22" ht="15" customHeight="1">
      <c r="B5" s="285"/>
      <c r="C5" s="27"/>
      <c r="D5" s="27"/>
      <c r="E5" s="27"/>
      <c r="F5" s="27"/>
      <c r="G5" s="27" t="s">
        <v>67</v>
      </c>
      <c r="H5" s="27"/>
      <c r="I5" s="286"/>
      <c r="J5"/>
      <c r="K5"/>
      <c r="L5"/>
      <c r="M5"/>
      <c r="N5"/>
      <c r="O5"/>
      <c r="P5"/>
      <c r="Q5"/>
      <c r="R5"/>
      <c r="S5"/>
      <c r="T5"/>
      <c r="U5"/>
      <c r="V5"/>
    </row>
    <row r="6" spans="2:22" ht="15" customHeight="1">
      <c r="B6" s="287" t="s">
        <v>1</v>
      </c>
      <c r="C6" s="302">
        <v>1160.0999999999999</v>
      </c>
      <c r="D6" s="302">
        <v>1294.5999999999999</v>
      </c>
      <c r="E6" s="302">
        <v>1316.5</v>
      </c>
      <c r="F6" s="302">
        <v>1377.3</v>
      </c>
      <c r="G6" s="302">
        <v>1513.6</v>
      </c>
      <c r="H6" s="302">
        <v>1717.5</v>
      </c>
      <c r="I6" s="300">
        <v>1989</v>
      </c>
      <c r="J6"/>
      <c r="K6"/>
      <c r="L6"/>
      <c r="M6"/>
      <c r="N6"/>
      <c r="O6"/>
      <c r="P6"/>
      <c r="Q6"/>
      <c r="R6"/>
      <c r="S6"/>
      <c r="T6"/>
      <c r="U6"/>
      <c r="V6"/>
    </row>
    <row r="7" spans="2:22" ht="15" customHeight="1">
      <c r="B7" s="288" t="s">
        <v>3</v>
      </c>
      <c r="C7" s="35">
        <v>1.7999999999999999E-2</v>
      </c>
      <c r="D7" s="35">
        <f>IFERROR(((D6/C6)-1),"")</f>
        <v>0.11593828118265659</v>
      </c>
      <c r="E7" s="35">
        <f t="shared" ref="E7:H7" si="0">IFERROR(((E6/D6)-1),"")</f>
        <v>1.6916422060868186E-2</v>
      </c>
      <c r="F7" s="35">
        <f>IFERROR(((F6/E6)-1),"")</f>
        <v>4.6183061146980675E-2</v>
      </c>
      <c r="G7" s="35">
        <f>IFERROR(((G6/F6)-1),"")</f>
        <v>9.8961736731285832E-2</v>
      </c>
      <c r="H7" s="35">
        <f t="shared" si="0"/>
        <v>0.13471194503171247</v>
      </c>
      <c r="I7" s="338">
        <f>IFERROR(((I6/H6)-1),"")</f>
        <v>0.15807860262008733</v>
      </c>
      <c r="L7"/>
      <c r="M7"/>
      <c r="N7"/>
      <c r="O7"/>
      <c r="P7"/>
      <c r="Q7"/>
      <c r="R7"/>
      <c r="S7"/>
      <c r="T7"/>
      <c r="U7"/>
      <c r="V7"/>
    </row>
    <row r="8" spans="2:22" ht="15" customHeight="1">
      <c r="B8" s="289"/>
      <c r="C8" s="27"/>
      <c r="D8" s="27"/>
      <c r="E8" s="27"/>
      <c r="F8" s="27"/>
      <c r="G8" s="27"/>
      <c r="H8" s="27"/>
      <c r="I8" s="286"/>
      <c r="L8"/>
      <c r="M8"/>
      <c r="N8"/>
      <c r="O8"/>
      <c r="P8"/>
      <c r="Q8"/>
      <c r="R8"/>
      <c r="S8"/>
      <c r="T8"/>
      <c r="U8"/>
      <c r="V8"/>
    </row>
    <row r="9" spans="2:22" ht="15" customHeight="1">
      <c r="B9" s="290" t="s">
        <v>4</v>
      </c>
      <c r="C9" s="302">
        <v>286</v>
      </c>
      <c r="D9" s="302">
        <v>395</v>
      </c>
      <c r="E9" s="302">
        <v>454</v>
      </c>
      <c r="F9" s="302">
        <v>590.6</v>
      </c>
      <c r="G9" s="302">
        <v>669.3</v>
      </c>
      <c r="H9" s="302">
        <v>760.8</v>
      </c>
      <c r="I9" s="300">
        <v>898.1</v>
      </c>
      <c r="L9"/>
      <c r="M9"/>
      <c r="N9"/>
      <c r="O9"/>
      <c r="P9"/>
      <c r="Q9"/>
      <c r="R9"/>
      <c r="S9"/>
      <c r="T9"/>
      <c r="U9"/>
      <c r="V9"/>
    </row>
    <row r="10" spans="2:22" ht="15" customHeight="1">
      <c r="B10" s="288" t="s">
        <v>6</v>
      </c>
      <c r="C10" s="35">
        <f>IFERROR(C9/C6,"")</f>
        <v>0.24653047151107665</v>
      </c>
      <c r="D10" s="35">
        <f t="shared" ref="D10:H10" si="1">IFERROR(D9/D6,"")</f>
        <v>0.30511354858643597</v>
      </c>
      <c r="E10" s="35">
        <f t="shared" si="1"/>
        <v>0.34485377895936192</v>
      </c>
      <c r="F10" s="35">
        <f t="shared" si="1"/>
        <v>0.42880999056124303</v>
      </c>
      <c r="G10" s="35">
        <f t="shared" si="1"/>
        <v>0.44219080338266387</v>
      </c>
      <c r="H10" s="35">
        <f t="shared" si="1"/>
        <v>0.44296943231441044</v>
      </c>
      <c r="I10" s="338">
        <f t="shared" ref="I10" si="2">IFERROR(I9/I6,"")</f>
        <v>0.45153343388637507</v>
      </c>
      <c r="L10"/>
      <c r="M10"/>
      <c r="N10"/>
      <c r="O10"/>
      <c r="P10"/>
      <c r="Q10"/>
      <c r="R10"/>
      <c r="S10"/>
      <c r="T10"/>
      <c r="U10"/>
      <c r="V10"/>
    </row>
    <row r="11" spans="2:22" ht="15" customHeight="1">
      <c r="B11" s="289"/>
      <c r="C11" s="27"/>
      <c r="D11" s="27"/>
      <c r="E11" s="27"/>
      <c r="F11" s="27"/>
      <c r="G11" s="27"/>
      <c r="H11" s="27"/>
      <c r="I11" s="286"/>
      <c r="L11"/>
      <c r="M11"/>
      <c r="N11"/>
      <c r="O11"/>
      <c r="P11"/>
      <c r="Q11"/>
      <c r="R11"/>
      <c r="S11"/>
      <c r="T11"/>
      <c r="U11"/>
      <c r="V11"/>
    </row>
    <row r="12" spans="2:22" ht="15" customHeight="1">
      <c r="B12" s="290" t="s">
        <v>7</v>
      </c>
      <c r="C12" s="302">
        <v>31.6</v>
      </c>
      <c r="D12" s="302">
        <v>30.4</v>
      </c>
      <c r="E12" s="302">
        <v>25.6</v>
      </c>
      <c r="F12" s="302">
        <v>20.5</v>
      </c>
      <c r="G12" s="302">
        <v>14.6</v>
      </c>
      <c r="H12" s="302">
        <v>13.8</v>
      </c>
      <c r="I12" s="300">
        <v>14.7</v>
      </c>
      <c r="L12"/>
      <c r="M12"/>
      <c r="N12"/>
      <c r="O12"/>
      <c r="P12"/>
      <c r="Q12"/>
      <c r="R12"/>
      <c r="S12"/>
      <c r="T12"/>
      <c r="U12"/>
      <c r="V12"/>
    </row>
    <row r="13" spans="2:22" ht="15" customHeight="1">
      <c r="B13" s="288" t="s">
        <v>17</v>
      </c>
      <c r="C13" s="35">
        <f>IFERROR(Historicals!$C$12/C6,"")</f>
        <v>2.7239031118007073E-2</v>
      </c>
      <c r="D13" s="35" cm="1">
        <f t="array" ref="D13">IFERROR(Historicals!$D$12/D6,"")</f>
        <v>2.3482156650702919E-2</v>
      </c>
      <c r="E13" s="35" cm="1">
        <f t="array" ref="E13">IFERROR(Historicals!$D$12/E6,"")</f>
        <v>2.3091530573490313E-2</v>
      </c>
      <c r="F13" s="35" cm="1">
        <f t="array" ref="F13">IFERROR(Historicals!$E$12/F6,"")</f>
        <v>1.8587090684672913E-2</v>
      </c>
      <c r="G13" s="35" cm="1">
        <f t="array" ref="G13">IFERROR(Historicals!$G$12/G6,"")</f>
        <v>9.6458773784355179E-3</v>
      </c>
      <c r="H13" s="35" cm="1">
        <f t="array" ref="H13">IFERROR(Historicals!$H$12/H6,"")</f>
        <v>8.034934497816594E-3</v>
      </c>
      <c r="I13" s="338" cm="1">
        <f t="array" ref="I13">IFERROR(Historicals!$H$12/I6,"")</f>
        <v>6.9381598793363504E-3</v>
      </c>
      <c r="L13"/>
      <c r="M13"/>
      <c r="N13"/>
      <c r="O13"/>
      <c r="P13"/>
      <c r="Q13"/>
      <c r="R13"/>
      <c r="S13"/>
      <c r="T13"/>
      <c r="U13"/>
      <c r="V13"/>
    </row>
    <row r="14" spans="2:22" ht="15" customHeight="1">
      <c r="B14" s="289"/>
      <c r="C14" s="27"/>
      <c r="D14" s="27"/>
      <c r="E14" s="27"/>
      <c r="F14" s="27"/>
      <c r="G14" s="27"/>
      <c r="H14" s="27"/>
      <c r="I14" s="286"/>
      <c r="L14"/>
      <c r="M14"/>
      <c r="N14"/>
      <c r="O14"/>
      <c r="P14"/>
      <c r="Q14"/>
      <c r="R14"/>
      <c r="S14"/>
      <c r="T14"/>
      <c r="U14"/>
      <c r="V14"/>
    </row>
    <row r="15" spans="2:22" ht="15" customHeight="1">
      <c r="B15" s="290" t="s">
        <v>9</v>
      </c>
      <c r="C15" s="302">
        <v>254.4</v>
      </c>
      <c r="D15" s="302">
        <v>341</v>
      </c>
      <c r="E15" s="302">
        <v>409.1</v>
      </c>
      <c r="F15" s="302">
        <v>551.70000000000005</v>
      </c>
      <c r="G15" s="302">
        <v>638.5</v>
      </c>
      <c r="H15" s="302">
        <v>733.6</v>
      </c>
      <c r="I15" s="300">
        <v>883.3</v>
      </c>
      <c r="L15"/>
      <c r="M15"/>
      <c r="N15"/>
      <c r="O15"/>
      <c r="P15"/>
      <c r="Q15"/>
      <c r="R15"/>
      <c r="S15"/>
      <c r="T15"/>
      <c r="U15"/>
      <c r="V15"/>
    </row>
    <row r="16" spans="2:22" ht="15" customHeight="1">
      <c r="B16" s="288" t="s">
        <v>10</v>
      </c>
      <c r="C16" s="35">
        <f>IFERROR(C15/C6,"")</f>
        <v>0.21929144039306958</v>
      </c>
      <c r="D16" s="35">
        <f t="shared" ref="D16:H16" si="3">IFERROR(D15/D6,"")</f>
        <v>0.2634018229568979</v>
      </c>
      <c r="E16" s="35">
        <f t="shared" si="3"/>
        <v>0.31074819597417397</v>
      </c>
      <c r="F16" s="35">
        <f t="shared" si="3"/>
        <v>0.40056632541929865</v>
      </c>
      <c r="G16" s="35">
        <f t="shared" si="3"/>
        <v>0.42184196617336156</v>
      </c>
      <c r="H16" s="35">
        <f t="shared" si="3"/>
        <v>0.42713245997088795</v>
      </c>
      <c r="I16" s="338">
        <f t="shared" ref="I16" si="4">IFERROR(I15/I6,"")</f>
        <v>0.44409250879839113</v>
      </c>
      <c r="L16"/>
      <c r="M16"/>
      <c r="N16"/>
      <c r="O16"/>
      <c r="P16"/>
      <c r="Q16"/>
      <c r="R16"/>
      <c r="S16"/>
      <c r="T16"/>
      <c r="U16"/>
      <c r="V16"/>
    </row>
    <row r="17" spans="2:22" ht="15" customHeight="1">
      <c r="B17" s="289"/>
      <c r="C17" s="27"/>
      <c r="D17" s="27"/>
      <c r="E17" s="27"/>
      <c r="F17" s="27"/>
      <c r="G17" s="27"/>
      <c r="H17" s="27"/>
      <c r="I17" s="286"/>
      <c r="L17"/>
      <c r="M17"/>
      <c r="N17"/>
      <c r="O17"/>
      <c r="P17"/>
      <c r="Q17"/>
      <c r="R17"/>
      <c r="S17"/>
      <c r="T17"/>
      <c r="U17"/>
      <c r="V17"/>
    </row>
    <row r="18" spans="2:22" ht="15" customHeight="1">
      <c r="B18" s="290" t="s">
        <v>11</v>
      </c>
      <c r="C18" s="302">
        <v>23.9</v>
      </c>
      <c r="D18" s="302">
        <v>20.6</v>
      </c>
      <c r="E18" s="302">
        <v>81.099999999999994</v>
      </c>
      <c r="F18" s="302">
        <v>97.8</v>
      </c>
      <c r="G18" s="302">
        <v>124.2</v>
      </c>
      <c r="H18" s="302">
        <v>129.19999999999999</v>
      </c>
      <c r="I18" s="300">
        <v>138.9</v>
      </c>
      <c r="L18"/>
      <c r="M18"/>
      <c r="N18"/>
      <c r="O18"/>
      <c r="P18"/>
      <c r="Q18"/>
      <c r="R18"/>
      <c r="S18"/>
      <c r="T18"/>
      <c r="U18"/>
      <c r="V18"/>
    </row>
    <row r="19" spans="2:22" ht="15" customHeight="1">
      <c r="B19" s="288" t="s">
        <v>13</v>
      </c>
      <c r="C19" s="35">
        <f>IFERROR(Historicals!C18/C15,"")</f>
        <v>9.3946540880503138E-2</v>
      </c>
      <c r="D19" s="35">
        <f>IFERROR(Historicals!D18/D15,"")</f>
        <v>6.0410557184750739E-2</v>
      </c>
      <c r="E19" s="35">
        <f>IFERROR(Historicals!E18/E15,"")</f>
        <v>0.19824003911024196</v>
      </c>
      <c r="F19" s="35">
        <f>IFERROR(Historicals!F18/F15,"")</f>
        <v>0.17727025557368134</v>
      </c>
      <c r="G19" s="35">
        <f>IFERROR(Historicals!G18/G15,"")</f>
        <v>0.19451840250587316</v>
      </c>
      <c r="H19" s="35">
        <f>IFERROR(Historicals!H18/H15,"")</f>
        <v>0.17611777535441656</v>
      </c>
      <c r="I19" s="338">
        <f>IFERROR(Historicals!I18/I15,"")</f>
        <v>0.15725121702705763</v>
      </c>
      <c r="J19" s="303"/>
      <c r="L19"/>
      <c r="M19"/>
      <c r="N19"/>
      <c r="O19"/>
      <c r="P19"/>
      <c r="Q19"/>
      <c r="R19"/>
      <c r="S19"/>
      <c r="T19"/>
      <c r="U19"/>
      <c r="V19"/>
    </row>
    <row r="20" spans="2:22" ht="15" customHeight="1">
      <c r="B20" s="291"/>
      <c r="C20" s="301"/>
      <c r="D20" s="301"/>
      <c r="E20" s="301"/>
      <c r="F20" s="301"/>
      <c r="G20" s="301"/>
      <c r="H20" s="301"/>
      <c r="I20" s="292"/>
      <c r="L20"/>
      <c r="M20"/>
      <c r="N20"/>
      <c r="O20"/>
      <c r="P20"/>
      <c r="Q20"/>
      <c r="R20"/>
      <c r="S20"/>
      <c r="T20"/>
      <c r="U20"/>
      <c r="V20"/>
    </row>
    <row r="21" spans="2:22" ht="15" customHeight="1">
      <c r="B21" s="293" t="s">
        <v>68</v>
      </c>
      <c r="C21" s="302">
        <f>C15-C18</f>
        <v>230.5</v>
      </c>
      <c r="D21" s="302">
        <f t="shared" ref="D21:H21" si="5">D15-D18</f>
        <v>320.39999999999998</v>
      </c>
      <c r="E21" s="302">
        <f t="shared" si="5"/>
        <v>328</v>
      </c>
      <c r="F21" s="302">
        <f t="shared" si="5"/>
        <v>453.90000000000003</v>
      </c>
      <c r="G21" s="302">
        <f t="shared" si="5"/>
        <v>514.29999999999995</v>
      </c>
      <c r="H21" s="302">
        <f t="shared" si="5"/>
        <v>604.40000000000009</v>
      </c>
      <c r="I21" s="300">
        <f t="shared" ref="I21" si="6">I15-I18</f>
        <v>744.4</v>
      </c>
      <c r="L21"/>
      <c r="M21"/>
      <c r="N21"/>
      <c r="O21"/>
      <c r="P21"/>
      <c r="Q21"/>
      <c r="R21"/>
      <c r="S21"/>
      <c r="T21"/>
      <c r="U21"/>
      <c r="V21"/>
    </row>
    <row r="22" spans="2:22" ht="15" customHeight="1">
      <c r="B22" s="291"/>
      <c r="C22" s="26"/>
      <c r="D22" s="26"/>
      <c r="E22" s="26"/>
      <c r="F22" s="26"/>
      <c r="G22" s="26"/>
      <c r="H22" s="26"/>
      <c r="I22" s="294"/>
      <c r="L22"/>
      <c r="M22"/>
      <c r="N22"/>
      <c r="O22"/>
      <c r="P22"/>
      <c r="Q22"/>
      <c r="R22"/>
      <c r="S22"/>
      <c r="T22"/>
      <c r="U22"/>
      <c r="V22"/>
    </row>
    <row r="23" spans="2:22" ht="15" customHeight="1">
      <c r="B23" s="293" t="s">
        <v>7</v>
      </c>
      <c r="C23" s="302">
        <f t="shared" ref="C23:H23" si="7">C12</f>
        <v>31.6</v>
      </c>
      <c r="D23" s="302">
        <f t="shared" si="7"/>
        <v>30.4</v>
      </c>
      <c r="E23" s="302">
        <f t="shared" si="7"/>
        <v>25.6</v>
      </c>
      <c r="F23" s="302">
        <f t="shared" si="7"/>
        <v>20.5</v>
      </c>
      <c r="G23" s="302">
        <f t="shared" si="7"/>
        <v>14.6</v>
      </c>
      <c r="H23" s="302">
        <f t="shared" si="7"/>
        <v>13.8</v>
      </c>
      <c r="I23" s="300">
        <f t="shared" ref="I23" si="8">I12</f>
        <v>14.7</v>
      </c>
      <c r="L23"/>
      <c r="M23"/>
      <c r="N23"/>
      <c r="O23"/>
      <c r="P23"/>
      <c r="Q23"/>
      <c r="R23"/>
      <c r="S23"/>
      <c r="T23"/>
      <c r="U23"/>
      <c r="V23"/>
    </row>
    <row r="24" spans="2:22" ht="15" customHeight="1">
      <c r="B24" s="295" t="s">
        <v>17</v>
      </c>
      <c r="C24" s="301">
        <f>IFERROR(C12/C6,"")</f>
        <v>2.7239031118007073E-2</v>
      </c>
      <c r="D24" s="301">
        <f t="shared" ref="D24:H24" si="9">IFERROR(D12/D6,"")</f>
        <v>2.3482156650702919E-2</v>
      </c>
      <c r="E24" s="301">
        <f t="shared" si="9"/>
        <v>1.9445499430307635E-2</v>
      </c>
      <c r="F24" s="301">
        <f t="shared" si="9"/>
        <v>1.4884193712335729E-2</v>
      </c>
      <c r="G24" s="301">
        <f t="shared" si="9"/>
        <v>9.6458773784355179E-3</v>
      </c>
      <c r="H24" s="301">
        <f t="shared" si="9"/>
        <v>8.034934497816594E-3</v>
      </c>
      <c r="I24" s="292">
        <f t="shared" ref="I24" si="10">IFERROR(I12/I6,"")</f>
        <v>7.3906485671191551E-3</v>
      </c>
      <c r="L24"/>
      <c r="M24"/>
      <c r="N24"/>
      <c r="O24"/>
      <c r="P24"/>
      <c r="Q24"/>
      <c r="R24"/>
      <c r="S24"/>
      <c r="T24"/>
      <c r="U24"/>
      <c r="V24"/>
    </row>
    <row r="25" spans="2:22" ht="15" customHeight="1">
      <c r="B25" s="291"/>
      <c r="C25" s="26"/>
      <c r="D25" s="26"/>
      <c r="E25" s="26"/>
      <c r="F25" s="26"/>
      <c r="G25" s="26"/>
      <c r="H25" s="26"/>
      <c r="I25" s="294"/>
      <c r="L25"/>
      <c r="M25"/>
      <c r="N25"/>
      <c r="O25"/>
      <c r="P25"/>
      <c r="Q25"/>
      <c r="R25"/>
      <c r="S25"/>
      <c r="T25"/>
      <c r="U25"/>
      <c r="V25"/>
    </row>
    <row r="26" spans="2:22" ht="15" customHeight="1">
      <c r="B26" s="293" t="s">
        <v>69</v>
      </c>
      <c r="C26" s="302">
        <v>-24</v>
      </c>
      <c r="D26" s="302">
        <v>-22</v>
      </c>
      <c r="E26" s="302">
        <v>-7.6</v>
      </c>
      <c r="F26" s="302">
        <v>-6</v>
      </c>
      <c r="G26" s="302">
        <v>-4.2</v>
      </c>
      <c r="H26" s="302">
        <v>-25.6</v>
      </c>
      <c r="I26" s="416">
        <v>-19.399999999999999</v>
      </c>
      <c r="L26"/>
      <c r="M26"/>
      <c r="N26"/>
      <c r="O26"/>
      <c r="P26"/>
      <c r="Q26"/>
      <c r="R26"/>
      <c r="S26"/>
      <c r="T26"/>
      <c r="U26"/>
      <c r="V26"/>
    </row>
    <row r="27" spans="2:22" ht="15" customHeight="1">
      <c r="B27" s="295" t="s">
        <v>19</v>
      </c>
      <c r="C27" s="301">
        <f>IFERROR(C26/C6,"")</f>
        <v>-2.0687871735195245E-2</v>
      </c>
      <c r="D27" s="301">
        <f t="shared" ref="D27:H27" si="11">IFERROR(D26/D6,"")</f>
        <v>-1.6993665997219218E-2</v>
      </c>
      <c r="E27" s="301">
        <f t="shared" si="11"/>
        <v>-5.7728826433725783E-3</v>
      </c>
      <c r="F27" s="301">
        <f t="shared" si="11"/>
        <v>-4.3563493792202132E-3</v>
      </c>
      <c r="G27" s="301">
        <f t="shared" si="11"/>
        <v>-2.7748414376321355E-3</v>
      </c>
      <c r="H27" s="301">
        <f t="shared" si="11"/>
        <v>-1.4905385735080059E-2</v>
      </c>
      <c r="I27" s="292">
        <f t="shared" ref="I27" si="12">IFERROR(I26/I6,"")</f>
        <v>-9.7536450477626949E-3</v>
      </c>
      <c r="L27"/>
      <c r="M27"/>
      <c r="N27"/>
      <c r="O27"/>
      <c r="P27"/>
      <c r="Q27"/>
      <c r="R27"/>
      <c r="S27"/>
      <c r="T27"/>
      <c r="U27"/>
      <c r="V27"/>
    </row>
    <row r="28" spans="2:22" ht="15" customHeight="1">
      <c r="B28" s="291"/>
      <c r="C28" s="26"/>
      <c r="D28" s="26"/>
      <c r="E28" s="26"/>
      <c r="F28" s="26"/>
      <c r="G28" s="26"/>
      <c r="H28" s="26"/>
      <c r="I28" s="294"/>
      <c r="L28"/>
      <c r="M28"/>
      <c r="N28"/>
      <c r="O28"/>
      <c r="P28"/>
      <c r="Q28"/>
      <c r="R28"/>
      <c r="S28"/>
      <c r="T28"/>
      <c r="U28"/>
      <c r="V28"/>
    </row>
    <row r="29" spans="2:22" ht="15" customHeight="1">
      <c r="B29" s="293" t="s">
        <v>70</v>
      </c>
      <c r="C29" s="411">
        <v>-56.9</v>
      </c>
      <c r="D29" s="411">
        <v>-42</v>
      </c>
      <c r="E29" s="411">
        <v>7.8</v>
      </c>
      <c r="F29" s="411">
        <v>-7.1</v>
      </c>
      <c r="G29" s="411">
        <v>-56.4</v>
      </c>
      <c r="H29" s="302">
        <v>-27.7</v>
      </c>
      <c r="I29" s="300">
        <v>-19.899999999999999</v>
      </c>
      <c r="L29"/>
      <c r="M29"/>
      <c r="N29"/>
      <c r="O29"/>
      <c r="P29"/>
      <c r="Q29"/>
      <c r="R29"/>
      <c r="S29"/>
      <c r="T29"/>
      <c r="U29"/>
      <c r="V29"/>
    </row>
    <row r="30" spans="2:22" ht="15" customHeight="1" thickBot="1">
      <c r="B30" s="412"/>
      <c r="C30" s="296">
        <f>IFERROR(C29/C6,"")</f>
        <v>-4.9047495905525387E-2</v>
      </c>
      <c r="D30" s="296">
        <f t="shared" ref="D30:H30" si="13">IFERROR(D29/D6,"")</f>
        <v>-3.2442453267418507E-2</v>
      </c>
      <c r="E30" s="296">
        <f t="shared" si="13"/>
        <v>5.9248006076718573E-3</v>
      </c>
      <c r="F30" s="296">
        <f t="shared" si="13"/>
        <v>-5.1550134320772524E-3</v>
      </c>
      <c r="G30" s="296">
        <f t="shared" si="13"/>
        <v>-3.7262156448202959E-2</v>
      </c>
      <c r="H30" s="296">
        <f t="shared" si="13"/>
        <v>-1.6128093158660844E-2</v>
      </c>
      <c r="I30" s="413">
        <f t="shared" ref="I30" si="14">IFERROR(I29/I6,"")</f>
        <v>-1.0005027652086475E-2</v>
      </c>
      <c r="L30"/>
      <c r="M30"/>
      <c r="N30"/>
      <c r="O30"/>
      <c r="P30"/>
      <c r="Q30"/>
      <c r="R30"/>
      <c r="S30"/>
      <c r="T30"/>
      <c r="U30"/>
      <c r="V30"/>
    </row>
    <row r="31" spans="2:22" ht="15" customHeight="1">
      <c r="L31"/>
      <c r="M31"/>
      <c r="N31"/>
      <c r="O31"/>
      <c r="P31"/>
      <c r="Q31"/>
      <c r="R31"/>
      <c r="S31"/>
      <c r="T31"/>
      <c r="U31"/>
      <c r="V31"/>
    </row>
  </sheetData>
  <mergeCells count="2">
    <mergeCell ref="B1:V1"/>
    <mergeCell ref="C3:G3"/>
  </mergeCells>
  <pageMargins left="0.7" right="0.7" top="0.75" bottom="0.75" header="0.3" footer="0.3"/>
  <pageSetup scale="31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E4924-2265-43C2-81D0-03C5555ACFF2}">
  <dimension ref="B2:Q57"/>
  <sheetViews>
    <sheetView showGridLines="0" zoomScale="115" zoomScaleNormal="115" workbookViewId="0">
      <selection activeCell="N10" sqref="N10"/>
    </sheetView>
  </sheetViews>
  <sheetFormatPr defaultRowHeight="15"/>
  <cols>
    <col min="1" max="1" width="9.140625" style="143"/>
    <col min="2" max="2" width="31.42578125" style="143" customWidth="1"/>
    <col min="3" max="16" width="12.7109375" style="143" customWidth="1"/>
    <col min="17" max="19" width="11.140625" style="143" customWidth="1"/>
    <col min="20" max="16384" width="9.140625" style="143"/>
  </cols>
  <sheetData>
    <row r="2" spans="2:17" ht="20.25">
      <c r="B2" s="417" t="s">
        <v>71</v>
      </c>
      <c r="C2" s="418" t="s">
        <v>72</v>
      </c>
      <c r="D2" s="418" t="s">
        <v>73</v>
      </c>
      <c r="E2" s="418" t="s">
        <v>74</v>
      </c>
      <c r="F2" s="419" t="s">
        <v>75</v>
      </c>
      <c r="G2" s="443">
        <v>2025</v>
      </c>
      <c r="H2" s="443">
        <v>2026</v>
      </c>
      <c r="I2" s="443">
        <v>2027</v>
      </c>
      <c r="J2" s="443">
        <v>2028</v>
      </c>
      <c r="K2" s="443">
        <v>2029</v>
      </c>
      <c r="L2" s="443">
        <v>2030</v>
      </c>
      <c r="M2" s="443">
        <v>2031</v>
      </c>
      <c r="P2" s="437" t="s">
        <v>76</v>
      </c>
      <c r="Q2" s="438"/>
    </row>
    <row r="3" spans="2:17">
      <c r="F3" s="420"/>
      <c r="P3" s="143" t="s">
        <v>77</v>
      </c>
      <c r="Q3" s="143">
        <v>26.6</v>
      </c>
    </row>
    <row r="4" spans="2:17">
      <c r="B4" s="325" t="s">
        <v>78</v>
      </c>
      <c r="C4" s="143">
        <v>662.4</v>
      </c>
      <c r="D4" s="143">
        <v>670.6</v>
      </c>
      <c r="E4" s="143">
        <v>739.7</v>
      </c>
      <c r="F4" s="420">
        <v>797.9</v>
      </c>
      <c r="G4" s="143">
        <v>822.7</v>
      </c>
      <c r="H4" s="429">
        <f>G4*(1+H5)</f>
        <v>970.78600000000006</v>
      </c>
      <c r="I4" s="429">
        <f t="shared" ref="I4:M4" si="0">H4*(1+I5)</f>
        <v>1126.11176</v>
      </c>
      <c r="J4" s="429">
        <f t="shared" si="0"/>
        <v>1317.5507591999999</v>
      </c>
      <c r="K4" s="429">
        <f t="shared" si="0"/>
        <v>1567.8854034479998</v>
      </c>
      <c r="L4" s="429">
        <f t="shared" si="0"/>
        <v>1865.7836301031198</v>
      </c>
      <c r="M4" s="429">
        <f t="shared" si="0"/>
        <v>2220.2825198227124</v>
      </c>
      <c r="P4" s="143" t="s">
        <v>79</v>
      </c>
      <c r="Q4" s="143">
        <v>156.9</v>
      </c>
    </row>
    <row r="5" spans="2:17">
      <c r="B5" s="421" t="s">
        <v>80</v>
      </c>
      <c r="C5" s="422"/>
      <c r="D5" s="424">
        <f>D4/C4-1</f>
        <v>1.2379227053140207E-2</v>
      </c>
      <c r="E5" s="424">
        <f t="shared" ref="E5:G5" si="1">E4/D4-1</f>
        <v>0.10304205189382643</v>
      </c>
      <c r="F5" s="425">
        <f t="shared" si="1"/>
        <v>7.8680546167364973E-2</v>
      </c>
      <c r="G5" s="424">
        <f t="shared" si="1"/>
        <v>3.1081589171575441E-2</v>
      </c>
      <c r="H5" s="424">
        <v>0.18</v>
      </c>
      <c r="I5" s="424">
        <v>0.16</v>
      </c>
      <c r="J5" s="424">
        <v>0.17</v>
      </c>
      <c r="K5" s="424">
        <v>0.19</v>
      </c>
      <c r="L5" s="424">
        <v>0.19</v>
      </c>
      <c r="M5" s="424">
        <v>0.19</v>
      </c>
      <c r="P5" s="143" t="s">
        <v>81</v>
      </c>
      <c r="Q5" s="143">
        <v>2216</v>
      </c>
    </row>
    <row r="6" spans="2:17">
      <c r="B6" s="421"/>
      <c r="C6" s="422"/>
      <c r="D6" s="422"/>
      <c r="E6" s="422"/>
      <c r="F6" s="423"/>
      <c r="G6" s="422"/>
      <c r="H6" s="422"/>
      <c r="I6" s="422"/>
      <c r="J6" s="422"/>
      <c r="K6" s="422"/>
      <c r="L6" s="422"/>
      <c r="M6" s="422"/>
      <c r="P6" s="143" t="s">
        <v>82</v>
      </c>
      <c r="Q6" s="143">
        <v>84.3</v>
      </c>
    </row>
    <row r="7" spans="2:17">
      <c r="B7" s="325" t="s">
        <v>83</v>
      </c>
      <c r="C7" s="422">
        <v>654.1</v>
      </c>
      <c r="D7" s="422">
        <v>706.6</v>
      </c>
      <c r="E7" s="422">
        <v>773.8</v>
      </c>
      <c r="F7" s="423">
        <v>919.7</v>
      </c>
      <c r="G7" s="422">
        <v>1106.2</v>
      </c>
      <c r="H7" s="429">
        <f>G7*(1+H8)</f>
        <v>1382.75</v>
      </c>
      <c r="I7" s="429">
        <f t="shared" ref="I7" si="2">H7*(1+I8)</f>
        <v>1673.1275000000001</v>
      </c>
      <c r="J7" s="429">
        <f t="shared" ref="J7" si="3">I7*(1+J8)</f>
        <v>1999.3873625000001</v>
      </c>
      <c r="K7" s="429">
        <f t="shared" ref="K7" si="4">J7*(1+K8)</f>
        <v>2369.2740245625</v>
      </c>
      <c r="L7" s="429">
        <f t="shared" ref="L7:M7" si="5">K7*(1+L8)</f>
        <v>2783.8969788609375</v>
      </c>
      <c r="M7" s="429">
        <f t="shared" si="5"/>
        <v>3243.2399803729922</v>
      </c>
      <c r="Q7" s="143">
        <f>SUM(Q3:Q6)</f>
        <v>2483.8000000000002</v>
      </c>
    </row>
    <row r="8" spans="2:17">
      <c r="B8" s="421" t="s">
        <v>80</v>
      </c>
      <c r="C8" s="422"/>
      <c r="D8" s="424">
        <f>D7/C7-1</f>
        <v>8.0262956734444169E-2</v>
      </c>
      <c r="E8" s="424">
        <f t="shared" ref="E8" si="6">E7/D7-1</f>
        <v>9.510331163317276E-2</v>
      </c>
      <c r="F8" s="425">
        <f t="shared" ref="F8" si="7">F7/E7-1</f>
        <v>0.18855001292323603</v>
      </c>
      <c r="G8" s="424">
        <f t="shared" ref="G8" si="8">G7/F7-1</f>
        <v>0.20278351636403169</v>
      </c>
      <c r="H8" s="430">
        <v>0.25</v>
      </c>
      <c r="I8" s="430">
        <v>0.21</v>
      </c>
      <c r="J8" s="430">
        <v>0.19500000000000001</v>
      </c>
      <c r="K8" s="430">
        <f t="shared" ref="K8:L8" si="9">J8-0.01</f>
        <v>0.185</v>
      </c>
      <c r="L8" s="430">
        <f t="shared" si="9"/>
        <v>0.17499999999999999</v>
      </c>
      <c r="M8" s="430">
        <f t="shared" ref="M8" si="10">L8-0.01</f>
        <v>0.16499999999999998</v>
      </c>
    </row>
    <row r="9" spans="2:17">
      <c r="F9" s="420"/>
    </row>
    <row r="10" spans="2:17">
      <c r="B10" s="426" t="s">
        <v>84</v>
      </c>
      <c r="C10" s="427">
        <f>SUM(C7,C4)</f>
        <v>1316.5</v>
      </c>
      <c r="D10" s="427">
        <f t="shared" ref="D10:L10" si="11">SUM(D7,D4)</f>
        <v>1377.2</v>
      </c>
      <c r="E10" s="427">
        <f t="shared" si="11"/>
        <v>1513.5</v>
      </c>
      <c r="F10" s="428">
        <f t="shared" si="11"/>
        <v>1717.6</v>
      </c>
      <c r="G10" s="427">
        <f t="shared" si="11"/>
        <v>1928.9</v>
      </c>
      <c r="H10" s="427">
        <f t="shared" si="11"/>
        <v>2353.5360000000001</v>
      </c>
      <c r="I10" s="427">
        <f t="shared" si="11"/>
        <v>2799.2392600000003</v>
      </c>
      <c r="J10" s="427">
        <f t="shared" si="11"/>
        <v>3316.9381217</v>
      </c>
      <c r="K10" s="427">
        <f t="shared" si="11"/>
        <v>3937.1594280105001</v>
      </c>
      <c r="L10" s="427">
        <f t="shared" si="11"/>
        <v>4649.6806089640577</v>
      </c>
      <c r="M10" s="427">
        <f t="shared" ref="M10" si="12">SUM(M7,M4)</f>
        <v>5463.5225001957042</v>
      </c>
      <c r="N10" s="424">
        <f>(M10/G10)^(1/(M2-G2))-1</f>
        <v>0.18948920166530447</v>
      </c>
      <c r="P10" s="143" t="s">
        <v>85</v>
      </c>
      <c r="Q10" s="143">
        <v>150.69999999999999</v>
      </c>
    </row>
    <row r="11" spans="2:17">
      <c r="B11" s="421" t="s">
        <v>80</v>
      </c>
      <c r="D11" s="430">
        <f>D10/C10-1</f>
        <v>4.6107102164830938E-2</v>
      </c>
      <c r="E11" s="430">
        <f t="shared" ref="E11:M11" si="13">E10/D10-1</f>
        <v>9.8968922451350583E-2</v>
      </c>
      <c r="F11" s="431">
        <f t="shared" si="13"/>
        <v>0.13485298975883708</v>
      </c>
      <c r="G11" s="430">
        <f t="shared" si="13"/>
        <v>0.12302049371215662</v>
      </c>
      <c r="H11" s="430">
        <f t="shared" si="13"/>
        <v>0.22014412359375801</v>
      </c>
      <c r="I11" s="430">
        <f t="shared" si="13"/>
        <v>0.18937601124435743</v>
      </c>
      <c r="J11" s="430">
        <f t="shared" si="13"/>
        <v>0.18494269821722908</v>
      </c>
      <c r="K11" s="430">
        <f t="shared" si="13"/>
        <v>0.18698609487252771</v>
      </c>
      <c r="L11" s="430">
        <f t="shared" si="13"/>
        <v>0.1809734134422909</v>
      </c>
      <c r="M11" s="430">
        <f t="shared" si="13"/>
        <v>0.17503178383105533</v>
      </c>
    </row>
    <row r="12" spans="2:17">
      <c r="F12" s="420"/>
    </row>
    <row r="14" spans="2:17">
      <c r="B14" s="325" t="s">
        <v>86</v>
      </c>
      <c r="C14" s="143">
        <v>332.5</v>
      </c>
      <c r="D14" s="143">
        <v>302.2</v>
      </c>
      <c r="E14" s="143">
        <v>311.10000000000002</v>
      </c>
      <c r="F14" s="420">
        <v>348.2</v>
      </c>
      <c r="G14" s="143">
        <v>352.1</v>
      </c>
      <c r="H14" s="429">
        <f>G14*(1+H15)</f>
        <v>373.22600000000006</v>
      </c>
      <c r="I14" s="429">
        <f t="shared" ref="I14:M14" si="14">H14*(1+I15)</f>
        <v>396.36601200000007</v>
      </c>
      <c r="J14" s="429">
        <f t="shared" si="14"/>
        <v>421.7334367680001</v>
      </c>
      <c r="K14" s="429">
        <f t="shared" si="14"/>
        <v>449.56784359468816</v>
      </c>
      <c r="L14" s="429">
        <f t="shared" si="14"/>
        <v>480.13845695912698</v>
      </c>
      <c r="M14" s="429">
        <f t="shared" si="14"/>
        <v>513.74814894626593</v>
      </c>
    </row>
    <row r="15" spans="2:17">
      <c r="B15" s="421" t="s">
        <v>80</v>
      </c>
      <c r="D15" s="430">
        <f>D14/C14-1</f>
        <v>-9.1127819548872169E-2</v>
      </c>
      <c r="E15" s="430">
        <f t="shared" ref="E15:G15" si="15">E14/D14-1</f>
        <v>2.9450694904037178E-2</v>
      </c>
      <c r="F15" s="431">
        <f t="shared" si="15"/>
        <v>0.11925425908068132</v>
      </c>
      <c r="G15" s="430">
        <f t="shared" si="15"/>
        <v>1.1200459506031102E-2</v>
      </c>
      <c r="H15" s="430">
        <v>0.06</v>
      </c>
      <c r="I15" s="430">
        <v>6.2E-2</v>
      </c>
      <c r="J15" s="430">
        <v>6.4000000000000001E-2</v>
      </c>
      <c r="K15" s="430">
        <v>6.6000000000000003E-2</v>
      </c>
      <c r="L15" s="430">
        <v>6.8000000000000005E-2</v>
      </c>
      <c r="M15" s="430">
        <v>7.0000000000000007E-2</v>
      </c>
    </row>
    <row r="17" spans="2:14">
      <c r="B17" s="325" t="s">
        <v>87</v>
      </c>
      <c r="C17" s="422">
        <f>C10-C14</f>
        <v>984</v>
      </c>
      <c r="D17" s="422">
        <f t="shared" ref="D17:L17" si="16">D10-D14</f>
        <v>1075</v>
      </c>
      <c r="E17" s="422">
        <f t="shared" si="16"/>
        <v>1202.4000000000001</v>
      </c>
      <c r="F17" s="422">
        <f t="shared" si="16"/>
        <v>1369.3999999999999</v>
      </c>
      <c r="G17" s="422">
        <f t="shared" si="16"/>
        <v>1576.8000000000002</v>
      </c>
      <c r="H17" s="422">
        <f t="shared" si="16"/>
        <v>1980.31</v>
      </c>
      <c r="I17" s="422">
        <f t="shared" si="16"/>
        <v>2402.8732480000003</v>
      </c>
      <c r="J17" s="422">
        <f t="shared" si="16"/>
        <v>2895.204684932</v>
      </c>
      <c r="K17" s="422">
        <f t="shared" si="16"/>
        <v>3487.5915844158117</v>
      </c>
      <c r="L17" s="422">
        <f t="shared" si="16"/>
        <v>4169.5421520049304</v>
      </c>
      <c r="M17" s="422">
        <f t="shared" ref="M17" si="17">M10-M14</f>
        <v>4949.774351249438</v>
      </c>
    </row>
    <row r="18" spans="2:14">
      <c r="B18" s="421" t="s">
        <v>80</v>
      </c>
    </row>
    <row r="20" spans="2:14">
      <c r="B20" s="325" t="s">
        <v>88</v>
      </c>
      <c r="C20" s="422">
        <v>575</v>
      </c>
      <c r="D20" s="422">
        <v>523.4</v>
      </c>
      <c r="E20" s="422">
        <v>564</v>
      </c>
      <c r="F20" s="422">
        <v>635.70000000000005</v>
      </c>
      <c r="G20" s="422">
        <v>693.5</v>
      </c>
      <c r="H20" s="432">
        <f>G20*(1+H21)</f>
        <v>755.91500000000008</v>
      </c>
      <c r="I20" s="432">
        <f t="shared" ref="I20:M20" si="18">H20*(1+I21)</f>
        <v>823.94735000000014</v>
      </c>
      <c r="J20" s="432">
        <f t="shared" si="18"/>
        <v>898.10261150000019</v>
      </c>
      <c r="K20" s="432">
        <f t="shared" si="18"/>
        <v>978.93184653500032</v>
      </c>
      <c r="L20" s="432">
        <f t="shared" si="18"/>
        <v>1067.0357127231505</v>
      </c>
      <c r="M20" s="432">
        <f t="shared" si="18"/>
        <v>1163.068926868234</v>
      </c>
    </row>
    <row r="21" spans="2:14">
      <c r="B21" s="421" t="s">
        <v>80</v>
      </c>
      <c r="D21" s="430">
        <f>D20/C20-1</f>
        <v>-8.9739130434782655E-2</v>
      </c>
      <c r="E21" s="430">
        <f t="shared" ref="E21" si="19">E20/D20-1</f>
        <v>7.7569736339319961E-2</v>
      </c>
      <c r="F21" s="431">
        <f t="shared" ref="F21" si="20">F20/E20-1</f>
        <v>0.12712765957446814</v>
      </c>
      <c r="G21" s="430">
        <f t="shared" ref="G21" si="21">G20/F20-1</f>
        <v>9.0923391536888332E-2</v>
      </c>
      <c r="H21" s="430">
        <v>0.09</v>
      </c>
      <c r="I21" s="430">
        <v>0.09</v>
      </c>
      <c r="J21" s="430">
        <v>0.09</v>
      </c>
      <c r="K21" s="430">
        <v>0.09</v>
      </c>
      <c r="L21" s="430">
        <v>0.09</v>
      </c>
      <c r="M21" s="430">
        <v>0.09</v>
      </c>
    </row>
    <row r="22" spans="2:14">
      <c r="B22" s="421"/>
      <c r="D22" s="430"/>
      <c r="E22" s="430"/>
      <c r="F22" s="430"/>
      <c r="G22" s="430"/>
      <c r="H22" s="430"/>
      <c r="I22" s="430"/>
      <c r="J22" s="430"/>
      <c r="K22" s="430"/>
      <c r="L22" s="430"/>
      <c r="M22" s="430"/>
    </row>
    <row r="23" spans="2:14">
      <c r="B23" s="371" t="s">
        <v>89</v>
      </c>
      <c r="C23" s="143">
        <f>Historicals!E12</f>
        <v>25.6</v>
      </c>
      <c r="D23" s="143">
        <f>Historicals!F12</f>
        <v>20.5</v>
      </c>
      <c r="E23" s="143">
        <f>Historicals!G12</f>
        <v>14.6</v>
      </c>
      <c r="F23" s="143">
        <f>Historicals!H12</f>
        <v>13.8</v>
      </c>
      <c r="G23" s="143">
        <f>Historicals!I12</f>
        <v>14.7</v>
      </c>
      <c r="H23" s="436">
        <f>H10*H24</f>
        <v>28.242432000000001</v>
      </c>
      <c r="I23" s="436">
        <f t="shared" ref="I23:M23" si="22">I10*I24</f>
        <v>33.590871120000003</v>
      </c>
      <c r="J23" s="436">
        <f t="shared" si="22"/>
        <v>39.803257460399998</v>
      </c>
      <c r="K23" s="436">
        <f t="shared" si="22"/>
        <v>47.245913136125999</v>
      </c>
      <c r="L23" s="436">
        <f t="shared" si="22"/>
        <v>55.796167307568695</v>
      </c>
      <c r="M23" s="436">
        <f t="shared" si="22"/>
        <v>65.562270002348455</v>
      </c>
    </row>
    <row r="24" spans="2:14">
      <c r="B24" s="421" t="s">
        <v>90</v>
      </c>
      <c r="C24" s="430">
        <f>C23/C10</f>
        <v>1.9445499430307635E-2</v>
      </c>
      <c r="D24" s="430">
        <f t="shared" ref="D24:G24" si="23">D23/D10</f>
        <v>1.4885274469939007E-2</v>
      </c>
      <c r="E24" s="430">
        <f t="shared" si="23"/>
        <v>9.6465147010241156E-3</v>
      </c>
      <c r="F24" s="430">
        <f t="shared" si="23"/>
        <v>8.0344666977177469E-3</v>
      </c>
      <c r="G24" s="430">
        <f t="shared" si="23"/>
        <v>7.6209238426045928E-3</v>
      </c>
      <c r="H24" s="430">
        <v>1.2E-2</v>
      </c>
      <c r="I24" s="430">
        <v>1.2E-2</v>
      </c>
      <c r="J24" s="430">
        <v>1.2E-2</v>
      </c>
      <c r="K24" s="430">
        <v>1.2E-2</v>
      </c>
      <c r="L24" s="430">
        <v>1.2E-2</v>
      </c>
      <c r="M24" s="430">
        <v>1.2E-2</v>
      </c>
    </row>
    <row r="25" spans="2:14">
      <c r="B25" s="421"/>
      <c r="D25" s="430"/>
      <c r="E25" s="430"/>
      <c r="F25" s="430"/>
      <c r="G25" s="430"/>
      <c r="H25" s="430"/>
      <c r="I25" s="430"/>
      <c r="J25" s="430"/>
      <c r="K25" s="430"/>
      <c r="L25" s="430"/>
      <c r="M25" s="430"/>
    </row>
    <row r="26" spans="2:14">
      <c r="B26" s="426" t="s">
        <v>4</v>
      </c>
      <c r="C26" s="427">
        <f>C17-C20+C23</f>
        <v>434.6</v>
      </c>
      <c r="D26" s="427">
        <f t="shared" ref="D26:M26" si="24">D17-D20+D23</f>
        <v>572.1</v>
      </c>
      <c r="E26" s="427">
        <f t="shared" si="24"/>
        <v>653.00000000000011</v>
      </c>
      <c r="F26" s="427">
        <f t="shared" si="24"/>
        <v>747.49999999999977</v>
      </c>
      <c r="G26" s="427">
        <f t="shared" si="24"/>
        <v>898.00000000000023</v>
      </c>
      <c r="H26" s="427">
        <f t="shared" si="24"/>
        <v>1252.637432</v>
      </c>
      <c r="I26" s="427">
        <f t="shared" si="24"/>
        <v>1612.5167691200002</v>
      </c>
      <c r="J26" s="427">
        <f t="shared" si="24"/>
        <v>2036.9053308923997</v>
      </c>
      <c r="K26" s="427">
        <f t="shared" si="24"/>
        <v>2555.9056510169376</v>
      </c>
      <c r="L26" s="427">
        <f t="shared" si="24"/>
        <v>3158.3026065893487</v>
      </c>
      <c r="M26" s="427">
        <f t="shared" si="24"/>
        <v>3852.2676943835527</v>
      </c>
      <c r="N26" s="424">
        <f>(M26/G26)^(1/(M2-G2))-1</f>
        <v>0.27469618785987748</v>
      </c>
    </row>
    <row r="27" spans="2:14">
      <c r="B27" s="421" t="s">
        <v>90</v>
      </c>
      <c r="C27" s="430">
        <f>C26/C10</f>
        <v>0.33011773642233194</v>
      </c>
      <c r="D27" s="430">
        <f t="shared" ref="D27:M27" si="25">D26/D10</f>
        <v>0.41540807435376126</v>
      </c>
      <c r="E27" s="430">
        <f t="shared" si="25"/>
        <v>0.43145028080607872</v>
      </c>
      <c r="F27" s="430">
        <f t="shared" si="25"/>
        <v>0.43520027945971113</v>
      </c>
      <c r="G27" s="430">
        <f t="shared" si="25"/>
        <v>0.46555031365026711</v>
      </c>
      <c r="H27" s="430">
        <f t="shared" si="25"/>
        <v>0.53223635924838197</v>
      </c>
      <c r="I27" s="430">
        <f t="shared" si="25"/>
        <v>0.57605535623989501</v>
      </c>
      <c r="J27" s="430">
        <f t="shared" si="25"/>
        <v>0.61409205000437062</v>
      </c>
      <c r="K27" s="430">
        <f t="shared" si="25"/>
        <v>0.64917504555015471</v>
      </c>
      <c r="L27" s="430">
        <f t="shared" si="25"/>
        <v>0.67925151686773899</v>
      </c>
      <c r="M27" s="430">
        <f t="shared" si="25"/>
        <v>0.70508864825679107</v>
      </c>
    </row>
    <row r="29" spans="2:14">
      <c r="B29" s="426" t="s">
        <v>91</v>
      </c>
      <c r="C29" s="427">
        <f>C17-C20</f>
        <v>409</v>
      </c>
      <c r="D29" s="427">
        <f t="shared" ref="D29:L29" si="26">D17-D20</f>
        <v>551.6</v>
      </c>
      <c r="E29" s="427">
        <f t="shared" si="26"/>
        <v>638.40000000000009</v>
      </c>
      <c r="F29" s="427">
        <f t="shared" si="26"/>
        <v>733.69999999999982</v>
      </c>
      <c r="G29" s="427">
        <f t="shared" si="26"/>
        <v>883.30000000000018</v>
      </c>
      <c r="H29" s="427">
        <f t="shared" si="26"/>
        <v>1224.395</v>
      </c>
      <c r="I29" s="427">
        <f t="shared" si="26"/>
        <v>1578.9258980000002</v>
      </c>
      <c r="J29" s="427">
        <f t="shared" si="26"/>
        <v>1997.1020734319998</v>
      </c>
      <c r="K29" s="427">
        <f t="shared" si="26"/>
        <v>2508.6597378808115</v>
      </c>
      <c r="L29" s="427">
        <f t="shared" si="26"/>
        <v>3102.5064392817799</v>
      </c>
      <c r="M29" s="427">
        <f t="shared" ref="M29" si="27">M17-M20</f>
        <v>3786.705424381204</v>
      </c>
    </row>
    <row r="31" spans="2:14">
      <c r="B31" s="143" t="s">
        <v>92</v>
      </c>
      <c r="C31" s="143">
        <v>32.299999999999997</v>
      </c>
      <c r="D31" s="143">
        <v>71.099999999999994</v>
      </c>
      <c r="E31" s="143">
        <v>89.2</v>
      </c>
      <c r="F31" s="143">
        <v>91.6</v>
      </c>
      <c r="G31" s="143">
        <v>113.4</v>
      </c>
      <c r="H31" s="429">
        <f>G31*(1+H32)</f>
        <v>130.41</v>
      </c>
      <c r="I31" s="429">
        <f t="shared" ref="I31:M31" si="28">H31*(1+I32)</f>
        <v>149.97149999999999</v>
      </c>
      <c r="J31" s="429">
        <f t="shared" si="28"/>
        <v>172.46722499999998</v>
      </c>
      <c r="K31" s="429">
        <f t="shared" si="28"/>
        <v>198.33730874999998</v>
      </c>
      <c r="L31" s="429">
        <f t="shared" si="28"/>
        <v>228.08790506249994</v>
      </c>
      <c r="M31" s="429">
        <f t="shared" si="28"/>
        <v>262.30109082187494</v>
      </c>
    </row>
    <row r="32" spans="2:14">
      <c r="B32" s="421" t="s">
        <v>80</v>
      </c>
      <c r="D32" s="430">
        <f>D31/C31-1</f>
        <v>1.2012383900928794</v>
      </c>
      <c r="E32" s="430">
        <f t="shared" ref="E32" si="29">E31/D31-1</f>
        <v>0.25457102672292553</v>
      </c>
      <c r="F32" s="431">
        <f t="shared" ref="F32" si="30">F31/E31-1</f>
        <v>2.6905829596412412E-2</v>
      </c>
      <c r="G32" s="430">
        <f t="shared" ref="G32" si="31">G31/F31-1</f>
        <v>0.23799126637554591</v>
      </c>
      <c r="H32" s="381">
        <v>0.15</v>
      </c>
      <c r="I32" s="381">
        <v>0.15</v>
      </c>
      <c r="J32" s="381">
        <v>0.15</v>
      </c>
      <c r="K32" s="381">
        <v>0.15</v>
      </c>
      <c r="L32" s="381">
        <v>0.15</v>
      </c>
      <c r="M32" s="381">
        <v>0.15</v>
      </c>
    </row>
    <row r="33" spans="2:13">
      <c r="B33" s="143" t="s">
        <v>93</v>
      </c>
      <c r="C33" s="143">
        <v>-96.4</v>
      </c>
      <c r="D33" s="143">
        <v>9.3000000000000007</v>
      </c>
      <c r="E33" s="143">
        <v>-4.3</v>
      </c>
      <c r="F33" s="143">
        <v>0</v>
      </c>
      <c r="G33" s="143">
        <v>-1.5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</row>
    <row r="35" spans="2:13">
      <c r="B35" s="143" t="s">
        <v>94</v>
      </c>
      <c r="C35" s="422">
        <f>C29-C31-C33</f>
        <v>473.1</v>
      </c>
      <c r="D35" s="422">
        <f t="shared" ref="D35:L35" si="32">D29-D31-D33</f>
        <v>471.2</v>
      </c>
      <c r="E35" s="422">
        <f t="shared" si="32"/>
        <v>553.5</v>
      </c>
      <c r="F35" s="422">
        <f t="shared" si="32"/>
        <v>642.0999999999998</v>
      </c>
      <c r="G35" s="422">
        <f t="shared" si="32"/>
        <v>771.4000000000002</v>
      </c>
      <c r="H35" s="422">
        <f t="shared" si="32"/>
        <v>1093.9849999999999</v>
      </c>
      <c r="I35" s="422">
        <f t="shared" si="32"/>
        <v>1428.9543980000003</v>
      </c>
      <c r="J35" s="422">
        <f t="shared" si="32"/>
        <v>1824.6348484319997</v>
      </c>
      <c r="K35" s="422">
        <f t="shared" si="32"/>
        <v>2310.3224291308115</v>
      </c>
      <c r="L35" s="422">
        <f t="shared" si="32"/>
        <v>2874.41853421928</v>
      </c>
      <c r="M35" s="422">
        <f t="shared" ref="M35" si="33">M29-M31-M33</f>
        <v>3524.4043335593292</v>
      </c>
    </row>
    <row r="36" spans="2:13">
      <c r="B36" s="421" t="s">
        <v>80</v>
      </c>
      <c r="D36" s="430">
        <f>D35/C35-1</f>
        <v>-4.0160642570281624E-3</v>
      </c>
      <c r="E36" s="430">
        <f t="shared" ref="E36:M36" si="34">E35/D35-1</f>
        <v>0.17466044142614612</v>
      </c>
      <c r="F36" s="430">
        <f t="shared" si="34"/>
        <v>0.16007226738934022</v>
      </c>
      <c r="G36" s="430">
        <f t="shared" si="34"/>
        <v>0.20137050303691084</v>
      </c>
      <c r="H36" s="430">
        <f t="shared" si="34"/>
        <v>0.41818122893440446</v>
      </c>
      <c r="I36" s="430">
        <f t="shared" si="34"/>
        <v>0.30619194778721859</v>
      </c>
      <c r="J36" s="430">
        <f t="shared" si="34"/>
        <v>0.27690208377944292</v>
      </c>
      <c r="K36" s="430">
        <f t="shared" si="34"/>
        <v>0.26618343999961835</v>
      </c>
      <c r="L36" s="430">
        <f t="shared" si="34"/>
        <v>0.24416336783809545</v>
      </c>
      <c r="M36" s="430">
        <f t="shared" si="34"/>
        <v>0.22612775126590656</v>
      </c>
    </row>
    <row r="38" spans="2:13">
      <c r="B38" s="143" t="s">
        <v>95</v>
      </c>
      <c r="C38" s="143">
        <v>81.099999999999994</v>
      </c>
      <c r="D38" s="143">
        <v>97.8</v>
      </c>
      <c r="E38" s="143">
        <v>124.2</v>
      </c>
      <c r="F38" s="143">
        <v>129.19999999999999</v>
      </c>
      <c r="G38" s="143">
        <v>138.9</v>
      </c>
      <c r="H38" s="429">
        <f>H35*H39</f>
        <v>229.73684999999998</v>
      </c>
      <c r="I38" s="429">
        <f t="shared" ref="I38:M38" si="35">I35*I39</f>
        <v>300.08042358000006</v>
      </c>
      <c r="J38" s="429">
        <f t="shared" si="35"/>
        <v>383.17331817071994</v>
      </c>
      <c r="K38" s="429">
        <f t="shared" si="35"/>
        <v>485.16771011747039</v>
      </c>
      <c r="L38" s="429">
        <f t="shared" si="35"/>
        <v>603.62789218604883</v>
      </c>
      <c r="M38" s="429">
        <f t="shared" si="35"/>
        <v>740.12491004745914</v>
      </c>
    </row>
    <row r="39" spans="2:13">
      <c r="B39" s="421" t="s">
        <v>90</v>
      </c>
      <c r="D39" s="430">
        <f>D38/D35</f>
        <v>0.20755517826825126</v>
      </c>
      <c r="E39" s="430">
        <f t="shared" ref="E39:G39" si="36">E38/E35</f>
        <v>0.22439024390243903</v>
      </c>
      <c r="F39" s="430">
        <f t="shared" si="36"/>
        <v>0.20121476405544311</v>
      </c>
      <c r="G39" s="430">
        <f t="shared" si="36"/>
        <v>0.18006222452683429</v>
      </c>
      <c r="H39" s="430">
        <v>0.21</v>
      </c>
      <c r="I39" s="430">
        <v>0.21</v>
      </c>
      <c r="J39" s="430">
        <v>0.21</v>
      </c>
      <c r="K39" s="430">
        <v>0.21</v>
      </c>
      <c r="L39" s="430">
        <v>0.21</v>
      </c>
      <c r="M39" s="430">
        <v>0.21</v>
      </c>
    </row>
    <row r="41" spans="2:13">
      <c r="B41" s="325" t="s">
        <v>96</v>
      </c>
      <c r="C41" s="422">
        <f>C35-C38</f>
        <v>392</v>
      </c>
      <c r="D41" s="422">
        <f t="shared" ref="D41:L41" si="37">D35-D38</f>
        <v>373.4</v>
      </c>
      <c r="E41" s="422">
        <f t="shared" si="37"/>
        <v>429.3</v>
      </c>
      <c r="F41" s="422">
        <f t="shared" si="37"/>
        <v>512.89999999999986</v>
      </c>
      <c r="G41" s="422">
        <f t="shared" si="37"/>
        <v>632.50000000000023</v>
      </c>
      <c r="H41" s="422">
        <f t="shared" si="37"/>
        <v>864.2481499999999</v>
      </c>
      <c r="I41" s="422">
        <f t="shared" si="37"/>
        <v>1128.8739744200002</v>
      </c>
      <c r="J41" s="422">
        <f t="shared" si="37"/>
        <v>1441.4615302612797</v>
      </c>
      <c r="K41" s="422">
        <f t="shared" si="37"/>
        <v>1825.154719013341</v>
      </c>
      <c r="L41" s="422">
        <f t="shared" si="37"/>
        <v>2270.7906420332311</v>
      </c>
      <c r="M41" s="422">
        <f t="shared" ref="M41" si="38">M35-M38</f>
        <v>2784.2794235118699</v>
      </c>
    </row>
    <row r="43" spans="2:13">
      <c r="B43" s="143" t="s">
        <v>97</v>
      </c>
      <c r="C43" s="143">
        <v>29.3</v>
      </c>
      <c r="D43" s="143">
        <v>26.3</v>
      </c>
      <c r="E43" s="143">
        <v>25.4</v>
      </c>
      <c r="F43" s="143">
        <v>25.1</v>
      </c>
      <c r="G43" s="143">
        <v>24.6</v>
      </c>
      <c r="H43" s="143">
        <v>24.6</v>
      </c>
      <c r="I43" s="143">
        <v>24.6</v>
      </c>
      <c r="J43" s="143">
        <v>24.6</v>
      </c>
      <c r="K43" s="143">
        <v>24.6</v>
      </c>
      <c r="L43" s="143">
        <v>24.6</v>
      </c>
      <c r="M43" s="143">
        <v>24.6</v>
      </c>
    </row>
    <row r="45" spans="2:13">
      <c r="B45" s="143" t="s">
        <v>98</v>
      </c>
      <c r="C45" s="432">
        <f>C41/C43</f>
        <v>13.378839590443686</v>
      </c>
      <c r="D45" s="432">
        <f t="shared" ref="D45:F45" si="39">D41/D43</f>
        <v>14.197718631178706</v>
      </c>
      <c r="E45" s="432">
        <f t="shared" si="39"/>
        <v>16.901574803149607</v>
      </c>
      <c r="F45" s="432">
        <f t="shared" si="39"/>
        <v>20.434262948207166</v>
      </c>
      <c r="G45" s="432">
        <f>G41/G43</f>
        <v>25.711382113821145</v>
      </c>
      <c r="H45" s="433">
        <f>H41/H43</f>
        <v>35.132038617886174</v>
      </c>
      <c r="I45" s="433">
        <f t="shared" ref="I45:L45" si="40">I41/I43</f>
        <v>45.889185952032527</v>
      </c>
      <c r="J45" s="433">
        <f t="shared" si="40"/>
        <v>58.595997165092669</v>
      </c>
      <c r="K45" s="433">
        <f t="shared" si="40"/>
        <v>74.193281260704921</v>
      </c>
      <c r="L45" s="433">
        <f t="shared" si="40"/>
        <v>92.308562684277675</v>
      </c>
      <c r="M45" s="433">
        <f t="shared" ref="M45" si="41">M41/M43</f>
        <v>113.18209038666137</v>
      </c>
    </row>
    <row r="46" spans="2:13">
      <c r="B46" s="143" t="s">
        <v>99</v>
      </c>
      <c r="H46" s="434">
        <v>26.09</v>
      </c>
      <c r="I46" s="434">
        <v>34.770000000000003</v>
      </c>
      <c r="J46" s="434">
        <v>44.78</v>
      </c>
      <c r="K46" s="434">
        <v>52.93</v>
      </c>
      <c r="L46" s="434">
        <v>62.24</v>
      </c>
      <c r="M46" s="434">
        <v>63.24</v>
      </c>
    </row>
    <row r="51" spans="2:12">
      <c r="C51" s="432"/>
    </row>
    <row r="54" spans="2:12">
      <c r="B54" s="143" t="s">
        <v>100</v>
      </c>
      <c r="C54" s="143">
        <v>-99.1</v>
      </c>
      <c r="D54" s="143">
        <v>-1.8</v>
      </c>
      <c r="E54" s="143">
        <v>-24.7</v>
      </c>
      <c r="F54" s="143">
        <v>-29.8</v>
      </c>
      <c r="G54" s="143">
        <v>-47.3</v>
      </c>
      <c r="H54" s="429">
        <f>-H41*H55</f>
        <v>-51.854888999999993</v>
      </c>
      <c r="I54" s="429">
        <f>-I41*I55</f>
        <v>-67.732438465200005</v>
      </c>
      <c r="J54" s="429">
        <f>-J41*J55</f>
        <v>-86.487691815676783</v>
      </c>
      <c r="K54" s="429">
        <f>-K41*K55</f>
        <v>-109.50928314080046</v>
      </c>
      <c r="L54" s="429">
        <f>-L41*L55</f>
        <v>-136.24743852199387</v>
      </c>
    </row>
    <row r="55" spans="2:12">
      <c r="B55" s="421" t="s">
        <v>90</v>
      </c>
      <c r="C55" s="430">
        <f>ABS(C54/C41)</f>
        <v>0.2528061224489796</v>
      </c>
      <c r="D55" s="430">
        <f>ABS(D54/D41)</f>
        <v>4.8205677557579011E-3</v>
      </c>
      <c r="E55" s="430">
        <f>ABS(E54/E41)</f>
        <v>5.7535522944327976E-2</v>
      </c>
      <c r="F55" s="430">
        <f>ABS(F54/F41)</f>
        <v>5.8100994345876407E-2</v>
      </c>
      <c r="G55" s="430">
        <f>ABS(G54/G41)</f>
        <v>7.4782608695652147E-2</v>
      </c>
      <c r="H55" s="430">
        <v>0.06</v>
      </c>
      <c r="I55" s="430">
        <v>0.06</v>
      </c>
      <c r="J55" s="430">
        <v>0.06</v>
      </c>
      <c r="K55" s="430">
        <v>0.06</v>
      </c>
      <c r="L55" s="430">
        <v>0.06</v>
      </c>
    </row>
    <row r="57" spans="2:12">
      <c r="B57" s="143" t="s">
        <v>101</v>
      </c>
      <c r="C57" s="422">
        <f t="shared" ref="C57:L57" si="42">C41+C54</f>
        <v>292.89999999999998</v>
      </c>
      <c r="D57" s="422">
        <f t="shared" si="42"/>
        <v>371.59999999999997</v>
      </c>
      <c r="E57" s="422">
        <f t="shared" si="42"/>
        <v>404.6</v>
      </c>
      <c r="F57" s="422">
        <f t="shared" si="42"/>
        <v>483.09999999999985</v>
      </c>
      <c r="G57" s="422">
        <f t="shared" si="42"/>
        <v>585.20000000000027</v>
      </c>
      <c r="H57" s="422">
        <f t="shared" si="42"/>
        <v>812.39326099999994</v>
      </c>
      <c r="I57" s="422">
        <f t="shared" si="42"/>
        <v>1061.1415359548002</v>
      </c>
      <c r="J57" s="422">
        <f t="shared" si="42"/>
        <v>1354.973838445603</v>
      </c>
      <c r="K57" s="422">
        <f t="shared" si="42"/>
        <v>1715.6454358725405</v>
      </c>
      <c r="L57" s="422">
        <f t="shared" si="42"/>
        <v>2134.5432035112372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C12F4-6001-8C4B-ACAE-617EFF9D3058}">
  <sheetPr>
    <tabColor rgb="FF0070C0"/>
  </sheetPr>
  <dimension ref="B2:V44"/>
  <sheetViews>
    <sheetView showGridLines="0" tabSelected="1" topLeftCell="A2" zoomScale="68" zoomScaleNormal="54" workbookViewId="0">
      <selection activeCell="O10" sqref="O10"/>
    </sheetView>
  </sheetViews>
  <sheetFormatPr defaultColWidth="8.7109375" defaultRowHeight="15"/>
  <cols>
    <col min="1" max="1" width="3.7109375" style="25" customWidth="1"/>
    <col min="2" max="2" width="44" style="25" customWidth="1"/>
    <col min="3" max="10" width="16.7109375" style="25" customWidth="1"/>
    <col min="11" max="11" width="36.140625" style="25" customWidth="1"/>
    <col min="12" max="12" width="14.7109375" style="25" customWidth="1"/>
    <col min="13" max="22" width="16.7109375" style="25" customWidth="1"/>
    <col min="23" max="16384" width="8.7109375" style="25"/>
  </cols>
  <sheetData>
    <row r="2" spans="2:22" ht="45.75">
      <c r="B2" s="314" t="s">
        <v>102</v>
      </c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  <c r="Q2" s="314"/>
      <c r="R2" s="314"/>
      <c r="S2" s="314"/>
      <c r="T2" s="314"/>
      <c r="U2" s="314"/>
      <c r="V2" s="314"/>
    </row>
    <row r="4" spans="2:22" ht="18.75">
      <c r="B4" s="87" t="s">
        <v>103</v>
      </c>
      <c r="C4" s="414">
        <v>2025</v>
      </c>
      <c r="D4" s="415">
        <v>2026</v>
      </c>
      <c r="E4" s="415">
        <v>2027</v>
      </c>
      <c r="F4" s="415">
        <v>2028</v>
      </c>
      <c r="G4" s="415">
        <v>2029</v>
      </c>
      <c r="H4" s="415">
        <v>2030</v>
      </c>
      <c r="I4" s="415">
        <v>2031</v>
      </c>
      <c r="J4" s="62"/>
      <c r="K4" s="449" t="s">
        <v>104</v>
      </c>
      <c r="L4" s="449"/>
      <c r="M4" s="62"/>
      <c r="N4" s="450"/>
      <c r="O4" s="450"/>
      <c r="P4" s="62"/>
      <c r="Q4" s="62"/>
      <c r="R4" s="62"/>
      <c r="S4" s="62"/>
      <c r="T4" s="62"/>
    </row>
    <row r="5" spans="2:22" ht="18.75">
      <c r="B5" s="27"/>
      <c r="C5" s="28" t="s">
        <v>105</v>
      </c>
      <c r="D5" s="27"/>
      <c r="E5" s="27"/>
      <c r="F5" s="27"/>
      <c r="G5" s="27"/>
      <c r="H5" s="27"/>
      <c r="I5" s="27"/>
      <c r="J5" s="62"/>
      <c r="K5" s="26" t="s">
        <v>106</v>
      </c>
      <c r="L5" s="29">
        <f>C40</f>
        <v>0.1</v>
      </c>
      <c r="M5" s="62"/>
      <c r="N5" s="62"/>
      <c r="O5" s="62"/>
      <c r="P5" s="62"/>
      <c r="Q5" s="62"/>
      <c r="R5" s="62"/>
      <c r="S5" s="62"/>
      <c r="T5" s="62"/>
    </row>
    <row r="6" spans="2:22" ht="18.75">
      <c r="B6" s="30" t="s">
        <v>1</v>
      </c>
      <c r="C6" s="31">
        <f>'Revenue Build-out'!G10</f>
        <v>1928.9</v>
      </c>
      <c r="D6" s="32">
        <f>'Revenue Build-out'!H10</f>
        <v>2353.5360000000001</v>
      </c>
      <c r="E6" s="32">
        <f>'Revenue Build-out'!I10</f>
        <v>2799.2392600000003</v>
      </c>
      <c r="F6" s="32">
        <f>'Revenue Build-out'!J10</f>
        <v>3316.9381217</v>
      </c>
      <c r="G6" s="32">
        <f>'Revenue Build-out'!K10</f>
        <v>3937.1594280105001</v>
      </c>
      <c r="H6" s="32">
        <f>'Revenue Build-out'!L10</f>
        <v>4649.6806089640577</v>
      </c>
      <c r="I6" s="32">
        <f>'Revenue Build-out'!M10</f>
        <v>5463.5225001957042</v>
      </c>
      <c r="J6" s="62"/>
      <c r="K6" s="26" t="s">
        <v>107</v>
      </c>
      <c r="L6" s="63">
        <f>I9</f>
        <v>3841.3406493831612</v>
      </c>
      <c r="M6" s="62"/>
      <c r="N6" s="62"/>
      <c r="O6" s="62"/>
      <c r="P6" s="62"/>
      <c r="Q6" s="62"/>
      <c r="R6" s="62"/>
      <c r="S6" s="62"/>
      <c r="T6" s="62"/>
    </row>
    <row r="7" spans="2:22" ht="18.75">
      <c r="B7" s="33" t="s">
        <v>3</v>
      </c>
      <c r="C7" s="34">
        <f>Historicals!H7</f>
        <v>0.13471194503171247</v>
      </c>
      <c r="D7" s="35">
        <f t="shared" ref="D7:I7" si="0">D6/C6-1</f>
        <v>0.22014412359375801</v>
      </c>
      <c r="E7" s="35">
        <f t="shared" si="0"/>
        <v>0.18937601124435743</v>
      </c>
      <c r="F7" s="35">
        <f t="shared" si="0"/>
        <v>0.18494269821722908</v>
      </c>
      <c r="G7" s="35">
        <f t="shared" si="0"/>
        <v>0.18698609487252771</v>
      </c>
      <c r="H7" s="35">
        <f t="shared" si="0"/>
        <v>0.1809734134422909</v>
      </c>
      <c r="I7" s="35">
        <f t="shared" si="0"/>
        <v>0.17503178383105533</v>
      </c>
      <c r="J7" s="62"/>
      <c r="K7" s="26" t="s">
        <v>108</v>
      </c>
      <c r="L7" s="59">
        <v>25</v>
      </c>
      <c r="M7" s="353"/>
      <c r="N7" s="359"/>
      <c r="O7" s="62"/>
      <c r="P7" s="62"/>
      <c r="Q7" s="62"/>
      <c r="R7" s="62"/>
      <c r="S7" s="62"/>
      <c r="T7" s="62"/>
    </row>
    <row r="8" spans="2:22" ht="18.75">
      <c r="B8" s="36"/>
      <c r="C8" s="28"/>
      <c r="D8" s="27"/>
      <c r="E8" s="27"/>
      <c r="F8" s="27"/>
      <c r="G8" s="27"/>
      <c r="H8" s="27"/>
      <c r="I8" s="27"/>
      <c r="J8" s="62"/>
      <c r="K8" s="26" t="s">
        <v>109</v>
      </c>
      <c r="L8" s="63">
        <f>L6*L7</f>
        <v>96033.51623457903</v>
      </c>
      <c r="M8" s="62"/>
      <c r="N8" s="62"/>
      <c r="O8" s="62"/>
      <c r="P8" s="62"/>
      <c r="Q8" s="62"/>
      <c r="R8" s="62"/>
      <c r="S8" s="62"/>
      <c r="T8" s="62"/>
    </row>
    <row r="9" spans="2:22" ht="18.75">
      <c r="B9" s="37" t="s">
        <v>4</v>
      </c>
      <c r="C9" s="31">
        <f>Historicals!I9</f>
        <v>898.1</v>
      </c>
      <c r="D9" s="32">
        <f>'Revenue Build-out'!H29+'EBITDA Multiple Model - Base'!D12</f>
        <v>1247.9303600000001</v>
      </c>
      <c r="E9" s="32">
        <f>'Revenue Build-out'!I29+'EBITDA Multiple Model - Base'!E12</f>
        <v>1606.9182906000001</v>
      </c>
      <c r="F9" s="32">
        <f>'Revenue Build-out'!J29+'EBITDA Multiple Model - Base'!F12</f>
        <v>2030.2714546489997</v>
      </c>
      <c r="G9" s="32">
        <f>'Revenue Build-out'!K29+'EBITDA Multiple Model - Base'!G12</f>
        <v>2548.0313321609165</v>
      </c>
      <c r="H9" s="32">
        <f>'Revenue Build-out'!L29+'EBITDA Multiple Model - Base'!H12</f>
        <v>3149.0032453714202</v>
      </c>
      <c r="I9" s="32">
        <f>'Revenue Build-out'!M29+'EBITDA Multiple Model - Base'!I12</f>
        <v>3841.3406493831612</v>
      </c>
      <c r="J9" s="62"/>
      <c r="K9" s="26" t="s">
        <v>110</v>
      </c>
      <c r="L9" s="38">
        <f>1/((1+I40)^(I4-C4))</f>
        <v>0.56447393005377722</v>
      </c>
      <c r="M9" s="62"/>
      <c r="N9" s="62"/>
      <c r="O9" s="62"/>
      <c r="P9" s="62"/>
      <c r="Q9" s="62"/>
      <c r="R9" s="62"/>
      <c r="S9" s="62"/>
      <c r="T9" s="62"/>
    </row>
    <row r="10" spans="2:22" ht="18.75">
      <c r="B10" s="33" t="s">
        <v>6</v>
      </c>
      <c r="C10" s="34">
        <f>Historicals!I10</f>
        <v>0.45153343388637507</v>
      </c>
      <c r="D10" s="35">
        <f t="shared" ref="D10:I10" si="1">D9/D6</f>
        <v>0.53023635924838197</v>
      </c>
      <c r="E10" s="35">
        <f t="shared" si="1"/>
        <v>0.5740553562398949</v>
      </c>
      <c r="F10" s="35">
        <f t="shared" si="1"/>
        <v>0.61209205000437061</v>
      </c>
      <c r="G10" s="35">
        <f t="shared" si="1"/>
        <v>0.6471750455501547</v>
      </c>
      <c r="H10" s="35">
        <f t="shared" si="1"/>
        <v>0.67725151686773899</v>
      </c>
      <c r="I10" s="35">
        <f t="shared" si="1"/>
        <v>0.70308864825679107</v>
      </c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</row>
    <row r="11" spans="2:22" ht="18.75">
      <c r="B11" s="36"/>
      <c r="C11" s="28"/>
      <c r="D11" s="27"/>
      <c r="E11" s="27"/>
      <c r="F11" s="27"/>
      <c r="G11" s="27"/>
      <c r="H11" s="27"/>
      <c r="I11" s="27"/>
      <c r="J11" s="62"/>
      <c r="K11" s="91" t="s">
        <v>111</v>
      </c>
      <c r="L11" s="92"/>
      <c r="M11" s="62"/>
      <c r="N11" s="62"/>
      <c r="O11" s="62"/>
      <c r="P11" s="62"/>
      <c r="Q11" s="62"/>
      <c r="R11" s="62"/>
      <c r="S11" s="62"/>
      <c r="T11" s="62"/>
    </row>
    <row r="12" spans="2:22" ht="18.75">
      <c r="B12" s="37" t="s">
        <v>7</v>
      </c>
      <c r="C12" s="31">
        <f>Historicals!I12</f>
        <v>14.7</v>
      </c>
      <c r="D12" s="32">
        <f t="shared" ref="D12:I12" si="2">D13*D6</f>
        <v>23.535360000000001</v>
      </c>
      <c r="E12" s="32">
        <f t="shared" si="2"/>
        <v>27.992392600000002</v>
      </c>
      <c r="F12" s="32">
        <f t="shared" si="2"/>
        <v>33.169381217000002</v>
      </c>
      <c r="G12" s="32">
        <f t="shared" si="2"/>
        <v>39.371594280105001</v>
      </c>
      <c r="H12" s="32">
        <f t="shared" si="2"/>
        <v>46.496806089640579</v>
      </c>
      <c r="I12" s="32">
        <f t="shared" si="2"/>
        <v>54.635225001957046</v>
      </c>
      <c r="J12" s="62"/>
      <c r="K12" s="26" t="s">
        <v>112</v>
      </c>
      <c r="L12" s="64">
        <f>SUM(D44:I44)</f>
        <v>7706.1972835556662</v>
      </c>
      <c r="M12" s="439"/>
      <c r="N12" s="440"/>
      <c r="O12" s="441"/>
      <c r="P12" s="439"/>
      <c r="Q12" s="439"/>
      <c r="R12" s="62"/>
      <c r="S12" s="62"/>
      <c r="T12" s="62"/>
    </row>
    <row r="13" spans="2:22" ht="18.75">
      <c r="B13" s="33" t="s">
        <v>17</v>
      </c>
      <c r="C13" s="34">
        <f>C12/C6</f>
        <v>7.6209238426045928E-3</v>
      </c>
      <c r="D13" s="35">
        <v>0.01</v>
      </c>
      <c r="E13" s="35">
        <v>0.01</v>
      </c>
      <c r="F13" s="35">
        <v>0.01</v>
      </c>
      <c r="G13" s="35">
        <v>0.01</v>
      </c>
      <c r="H13" s="35">
        <v>0.01</v>
      </c>
      <c r="I13" s="35">
        <v>0.01</v>
      </c>
      <c r="J13" s="62"/>
      <c r="K13" s="26" t="s">
        <v>113</v>
      </c>
      <c r="L13" s="40">
        <f>L8*L9</f>
        <v>54208.416325816041</v>
      </c>
      <c r="M13" s="439"/>
      <c r="N13" s="439"/>
      <c r="O13" s="439"/>
      <c r="P13" s="439"/>
      <c r="Q13" s="439"/>
      <c r="R13" s="62"/>
      <c r="S13" s="62"/>
      <c r="T13" s="62"/>
    </row>
    <row r="14" spans="2:22" ht="18.75">
      <c r="B14" s="36"/>
      <c r="C14" s="28"/>
      <c r="D14" s="27"/>
      <c r="E14" s="27"/>
      <c r="F14" s="27"/>
      <c r="G14" s="27"/>
      <c r="H14" s="27"/>
      <c r="I14" s="27"/>
      <c r="J14" s="62"/>
      <c r="K14" s="41" t="s">
        <v>114</v>
      </c>
      <c r="L14" s="42">
        <f>L13/L16</f>
        <v>0.8755350823607625</v>
      </c>
      <c r="M14" s="62"/>
      <c r="N14" s="65"/>
      <c r="O14" s="66"/>
      <c r="P14" s="62"/>
      <c r="Q14" s="62"/>
      <c r="R14" s="62"/>
      <c r="S14" s="62"/>
      <c r="T14" s="62"/>
    </row>
    <row r="15" spans="2:22" ht="18.75">
      <c r="B15" s="37" t="s">
        <v>9</v>
      </c>
      <c r="C15" s="31">
        <f>C9-C12</f>
        <v>883.4</v>
      </c>
      <c r="D15" s="39">
        <f>'Revenue Build-out'!H29</f>
        <v>1224.395</v>
      </c>
      <c r="E15" s="39">
        <f>'Revenue Build-out'!I29</f>
        <v>1578.9258980000002</v>
      </c>
      <c r="F15" s="39">
        <f>'Revenue Build-out'!J29</f>
        <v>1997.1020734319998</v>
      </c>
      <c r="G15" s="39">
        <f>'Revenue Build-out'!K29</f>
        <v>2508.6597378808115</v>
      </c>
      <c r="H15" s="39">
        <f>'Revenue Build-out'!L29</f>
        <v>3102.5064392817799</v>
      </c>
      <c r="I15" s="39">
        <f>'Revenue Build-out'!M29</f>
        <v>3786.705424381204</v>
      </c>
      <c r="J15" s="62"/>
      <c r="K15" s="26"/>
      <c r="L15" s="40"/>
      <c r="M15" s="62"/>
      <c r="N15" s="26"/>
      <c r="O15" s="67"/>
      <c r="P15" s="62"/>
      <c r="Q15" s="62"/>
      <c r="R15" s="451"/>
      <c r="S15" s="451"/>
      <c r="T15" s="62"/>
    </row>
    <row r="16" spans="2:22" ht="18.75">
      <c r="B16" s="33" t="s">
        <v>10</v>
      </c>
      <c r="C16" s="34">
        <f t="shared" ref="C16:I16" si="3">C15/C6</f>
        <v>0.45798123282699982</v>
      </c>
      <c r="D16" s="35">
        <f t="shared" si="3"/>
        <v>0.52023635924838196</v>
      </c>
      <c r="E16" s="35">
        <f t="shared" si="3"/>
        <v>0.564055356239895</v>
      </c>
      <c r="F16" s="35">
        <f t="shared" si="3"/>
        <v>0.60209205000437072</v>
      </c>
      <c r="G16" s="35">
        <f t="shared" si="3"/>
        <v>0.6371750455501547</v>
      </c>
      <c r="H16" s="35">
        <f t="shared" si="3"/>
        <v>0.66725151686773898</v>
      </c>
      <c r="I16" s="35">
        <f t="shared" si="3"/>
        <v>0.69308864825679106</v>
      </c>
      <c r="J16" s="62"/>
      <c r="K16" s="26" t="s">
        <v>115</v>
      </c>
      <c r="L16" s="40">
        <f>L12+L13</f>
        <v>61914.613609371707</v>
      </c>
      <c r="M16" s="62"/>
      <c r="N16" s="26"/>
      <c r="O16" s="40"/>
      <c r="P16" s="62"/>
      <c r="Q16" s="62"/>
      <c r="R16" s="27"/>
      <c r="S16" s="68"/>
      <c r="T16" s="62"/>
    </row>
    <row r="17" spans="2:20" ht="18.75">
      <c r="B17" s="36"/>
      <c r="C17" s="28"/>
      <c r="D17" s="27"/>
      <c r="E17" s="27"/>
      <c r="F17" s="27"/>
      <c r="G17" s="27"/>
      <c r="H17" s="27"/>
      <c r="I17" s="27"/>
      <c r="J17" s="62"/>
      <c r="K17" s="26"/>
      <c r="L17" s="44"/>
      <c r="M17" s="62"/>
      <c r="N17" s="41"/>
      <c r="O17" s="42"/>
      <c r="P17" s="62"/>
      <c r="Q17" s="62"/>
      <c r="R17" s="27"/>
      <c r="S17" s="68"/>
      <c r="T17" s="62"/>
    </row>
    <row r="18" spans="2:20" ht="18.75">
      <c r="B18" s="37" t="s">
        <v>11</v>
      </c>
      <c r="C18" s="31">
        <f>Historicals!I18</f>
        <v>138.9</v>
      </c>
      <c r="D18" s="39">
        <f t="shared" ref="D18:I18" si="4">D15*D19</f>
        <v>257.12295</v>
      </c>
      <c r="E18" s="39">
        <f t="shared" si="4"/>
        <v>331.57443858000005</v>
      </c>
      <c r="F18" s="39">
        <f t="shared" si="4"/>
        <v>419.39143542071992</v>
      </c>
      <c r="G18" s="39">
        <f t="shared" si="4"/>
        <v>526.81854495497043</v>
      </c>
      <c r="H18" s="39">
        <f t="shared" si="4"/>
        <v>651.52635224917378</v>
      </c>
      <c r="I18" s="39">
        <f t="shared" si="4"/>
        <v>795.20813912005281</v>
      </c>
      <c r="J18" s="62"/>
      <c r="K18" s="91" t="s">
        <v>116</v>
      </c>
      <c r="L18" s="93"/>
      <c r="M18" s="62"/>
      <c r="N18" s="26"/>
      <c r="O18" s="40"/>
      <c r="P18" s="62"/>
      <c r="Q18" s="62"/>
      <c r="R18" s="26"/>
      <c r="S18" s="69"/>
      <c r="T18" s="62"/>
    </row>
    <row r="19" spans="2:20" ht="18.75">
      <c r="B19" s="33" t="s">
        <v>13</v>
      </c>
      <c r="C19" s="43">
        <f>C18/C15</f>
        <v>0.15723341634593616</v>
      </c>
      <c r="D19" s="35">
        <v>0.21</v>
      </c>
      <c r="E19" s="35">
        <v>0.21</v>
      </c>
      <c r="F19" s="35">
        <v>0.21</v>
      </c>
      <c r="G19" s="35">
        <v>0.21</v>
      </c>
      <c r="H19" s="35">
        <v>0.21</v>
      </c>
      <c r="I19" s="35">
        <v>0.21</v>
      </c>
      <c r="J19" s="62"/>
      <c r="K19" s="26" t="s">
        <v>115</v>
      </c>
      <c r="L19" s="40">
        <f>L16</f>
        <v>61914.613609371707</v>
      </c>
      <c r="M19" s="62"/>
      <c r="N19" s="26"/>
      <c r="O19" s="40"/>
      <c r="P19" s="62"/>
      <c r="Q19" s="62"/>
      <c r="R19" s="26"/>
      <c r="S19" s="68"/>
      <c r="T19" s="62"/>
    </row>
    <row r="20" spans="2:20" ht="18.75">
      <c r="B20" s="33"/>
      <c r="C20" s="35"/>
      <c r="D20" s="35"/>
      <c r="E20" s="35"/>
      <c r="F20" s="35"/>
      <c r="G20" s="35"/>
      <c r="H20" s="35"/>
      <c r="I20" s="35"/>
      <c r="J20" s="62"/>
      <c r="K20" s="26" t="s">
        <v>117</v>
      </c>
      <c r="L20" s="45">
        <f>'Revenue Build-out'!Q7</f>
        <v>2483.8000000000002</v>
      </c>
      <c r="M20" s="62"/>
      <c r="N20" s="26"/>
      <c r="O20" s="44"/>
      <c r="P20" s="62"/>
      <c r="Q20" s="62"/>
      <c r="R20" s="26"/>
      <c r="S20" s="70"/>
      <c r="T20" s="62"/>
    </row>
    <row r="21" spans="2:20" ht="18.75">
      <c r="B21" s="87" t="s">
        <v>118</v>
      </c>
      <c r="C21" s="90">
        <v>2024</v>
      </c>
      <c r="D21" s="89">
        <v>2025</v>
      </c>
      <c r="E21" s="89">
        <v>2026</v>
      </c>
      <c r="F21" s="89">
        <v>2027</v>
      </c>
      <c r="G21" s="89">
        <v>2028</v>
      </c>
      <c r="H21" s="89">
        <v>2029</v>
      </c>
      <c r="I21" s="89">
        <v>2030</v>
      </c>
      <c r="J21" s="62"/>
      <c r="K21" s="26" t="s">
        <v>119</v>
      </c>
      <c r="L21" s="45">
        <v>0</v>
      </c>
      <c r="M21" s="62"/>
      <c r="N21" s="65"/>
      <c r="O21" s="71"/>
      <c r="P21" s="62"/>
      <c r="Q21" s="62"/>
      <c r="R21" s="62"/>
      <c r="S21" s="62"/>
      <c r="T21" s="62"/>
    </row>
    <row r="22" spans="2:20" ht="18.75">
      <c r="B22" s="27"/>
      <c r="C22" s="28"/>
      <c r="D22" s="27"/>
      <c r="E22" s="27"/>
      <c r="F22" s="27"/>
      <c r="G22" s="27"/>
      <c r="H22" s="27"/>
      <c r="I22" s="27"/>
      <c r="J22" s="62"/>
      <c r="K22" s="26" t="s">
        <v>120</v>
      </c>
      <c r="L22" s="40">
        <f>'Revenue Build-out'!Q10</f>
        <v>150.69999999999999</v>
      </c>
      <c r="M22" s="62"/>
      <c r="N22" s="26"/>
      <c r="O22" s="40"/>
      <c r="P22" s="62"/>
      <c r="Q22" s="62"/>
      <c r="R22" s="62"/>
      <c r="S22" s="62"/>
      <c r="T22" s="62"/>
    </row>
    <row r="23" spans="2:20" ht="18.75">
      <c r="B23" s="37" t="s">
        <v>15</v>
      </c>
      <c r="C23" s="31">
        <f t="shared" ref="C23:I23" si="5">C15-C18</f>
        <v>744.5</v>
      </c>
      <c r="D23" s="32">
        <f t="shared" si="5"/>
        <v>967.27205000000004</v>
      </c>
      <c r="E23" s="32">
        <f t="shared" si="5"/>
        <v>1247.3514594200001</v>
      </c>
      <c r="F23" s="32">
        <f t="shared" si="5"/>
        <v>1577.7106380112798</v>
      </c>
      <c r="G23" s="32">
        <f t="shared" si="5"/>
        <v>1981.8411929258409</v>
      </c>
      <c r="H23" s="32">
        <f t="shared" si="5"/>
        <v>2450.9800870326062</v>
      </c>
      <c r="I23" s="32">
        <f t="shared" si="5"/>
        <v>2991.4972852611513</v>
      </c>
      <c r="J23" s="62"/>
      <c r="K23" s="26" t="s">
        <v>121</v>
      </c>
      <c r="L23" s="40">
        <f>L19-L20+L22</f>
        <v>59581.513609371701</v>
      </c>
      <c r="M23" s="62"/>
      <c r="N23" s="26"/>
      <c r="O23" s="45"/>
      <c r="P23" s="62"/>
      <c r="Q23" s="62"/>
      <c r="R23" s="62"/>
      <c r="S23" s="62"/>
      <c r="T23" s="62"/>
    </row>
    <row r="24" spans="2:20" ht="18.75">
      <c r="B24" s="36"/>
      <c r="C24" s="28"/>
      <c r="D24" s="27"/>
      <c r="E24" s="27"/>
      <c r="F24" s="27"/>
      <c r="G24" s="27"/>
      <c r="H24" s="27"/>
      <c r="I24" s="27"/>
      <c r="J24" s="62"/>
      <c r="K24" s="26" t="s">
        <v>122</v>
      </c>
      <c r="L24" s="60">
        <v>24.6</v>
      </c>
      <c r="M24" s="62"/>
      <c r="N24" s="26"/>
      <c r="O24" s="45"/>
      <c r="P24" s="62"/>
      <c r="Q24" s="62"/>
      <c r="R24" s="62"/>
      <c r="S24" s="62"/>
      <c r="T24" s="62"/>
    </row>
    <row r="25" spans="2:20" ht="19.5" thickBot="1">
      <c r="B25" s="37" t="s">
        <v>16</v>
      </c>
      <c r="C25" s="31">
        <f t="shared" ref="C25:I25" si="6">C12</f>
        <v>14.7</v>
      </c>
      <c r="D25" s="32">
        <f t="shared" si="6"/>
        <v>23.535360000000001</v>
      </c>
      <c r="E25" s="32">
        <f t="shared" si="6"/>
        <v>27.992392600000002</v>
      </c>
      <c r="F25" s="32">
        <f t="shared" si="6"/>
        <v>33.169381217000002</v>
      </c>
      <c r="G25" s="32">
        <f t="shared" si="6"/>
        <v>39.371594280105001</v>
      </c>
      <c r="H25" s="32">
        <f t="shared" si="6"/>
        <v>46.496806089640579</v>
      </c>
      <c r="I25" s="32">
        <f t="shared" si="6"/>
        <v>54.635225001957046</v>
      </c>
      <c r="J25" s="62"/>
      <c r="K25" s="91" t="s">
        <v>123</v>
      </c>
      <c r="L25" s="364">
        <f>L23/L24</f>
        <v>2422.012748348443</v>
      </c>
      <c r="M25" s="62"/>
      <c r="N25" s="26"/>
      <c r="O25" s="40"/>
      <c r="P25" s="62"/>
      <c r="Q25" s="62"/>
      <c r="R25" s="62"/>
      <c r="S25" s="62"/>
      <c r="T25" s="62"/>
    </row>
    <row r="26" spans="2:20" ht="19.5" thickTop="1">
      <c r="B26" s="33" t="s">
        <v>17</v>
      </c>
      <c r="C26" s="34">
        <f>C13</f>
        <v>7.6209238426045928E-3</v>
      </c>
      <c r="D26" s="35">
        <f t="shared" ref="D26:I26" si="7">D25/D6</f>
        <v>0.01</v>
      </c>
      <c r="E26" s="35">
        <f t="shared" si="7"/>
        <v>0.01</v>
      </c>
      <c r="F26" s="35">
        <f t="shared" si="7"/>
        <v>0.01</v>
      </c>
      <c r="G26" s="35">
        <f t="shared" si="7"/>
        <v>0.01</v>
      </c>
      <c r="H26" s="35">
        <f t="shared" si="7"/>
        <v>0.01</v>
      </c>
      <c r="I26" s="35">
        <f t="shared" si="7"/>
        <v>0.01</v>
      </c>
      <c r="J26" s="62"/>
      <c r="K26" s="62"/>
      <c r="L26" s="62"/>
      <c r="M26" s="62"/>
      <c r="N26" s="26"/>
      <c r="O26" s="40"/>
      <c r="P26" s="62"/>
      <c r="Q26" s="62"/>
      <c r="R26" s="62"/>
      <c r="S26" s="62"/>
      <c r="T26" s="62"/>
    </row>
    <row r="27" spans="2:20" ht="19.5" thickBot="1">
      <c r="B27" s="36"/>
      <c r="C27" s="28"/>
      <c r="D27" s="27"/>
      <c r="E27" s="27"/>
      <c r="F27" s="27"/>
      <c r="G27" s="27"/>
      <c r="H27" s="27"/>
      <c r="I27" s="27"/>
      <c r="J27" s="62"/>
      <c r="K27" s="62"/>
      <c r="L27" s="62"/>
      <c r="M27" s="62"/>
      <c r="N27" s="26"/>
      <c r="O27" s="46"/>
      <c r="P27" s="62"/>
      <c r="Q27" s="62"/>
      <c r="R27" s="62"/>
      <c r="S27" s="62"/>
      <c r="T27" s="62"/>
    </row>
    <row r="28" spans="2:20" ht="19.5" thickBot="1">
      <c r="B28" s="37" t="s">
        <v>18</v>
      </c>
      <c r="C28" s="47">
        <f>Historicals!I26</f>
        <v>-19.399999999999999</v>
      </c>
      <c r="D28" s="48">
        <f t="shared" ref="D28:I28" si="8">D6*D29</f>
        <v>-47.070720000000001</v>
      </c>
      <c r="E28" s="48">
        <f t="shared" si="8"/>
        <v>-55.984785200000005</v>
      </c>
      <c r="F28" s="48">
        <f t="shared" si="8"/>
        <v>-66.338762434000003</v>
      </c>
      <c r="G28" s="48">
        <f t="shared" si="8"/>
        <v>-78.743188560210001</v>
      </c>
      <c r="H28" s="48">
        <f t="shared" si="8"/>
        <v>-92.993612179281158</v>
      </c>
      <c r="I28" s="48">
        <f t="shared" si="8"/>
        <v>-109.27045000391409</v>
      </c>
      <c r="J28" s="62"/>
      <c r="K28" s="452" t="s">
        <v>124</v>
      </c>
      <c r="L28" s="453"/>
      <c r="M28" s="454" t="s">
        <v>125</v>
      </c>
      <c r="N28" s="454"/>
      <c r="O28" s="454"/>
      <c r="P28" s="454"/>
      <c r="Q28" s="455"/>
      <c r="R28" s="304"/>
      <c r="S28" s="62"/>
      <c r="T28" s="62"/>
    </row>
    <row r="29" spans="2:20" ht="18.75">
      <c r="B29" s="33" t="s">
        <v>19</v>
      </c>
      <c r="C29" s="34">
        <f>C28/C6</f>
        <v>-1.0057545751464564E-2</v>
      </c>
      <c r="D29" s="35">
        <v>-0.02</v>
      </c>
      <c r="E29" s="35">
        <v>-0.02</v>
      </c>
      <c r="F29" s="35">
        <v>-0.02</v>
      </c>
      <c r="G29" s="35">
        <v>-0.02</v>
      </c>
      <c r="H29" s="35">
        <v>-0.02</v>
      </c>
      <c r="I29" s="35">
        <v>-0.02</v>
      </c>
      <c r="J29" s="62"/>
      <c r="K29" s="72"/>
      <c r="L29" s="73">
        <f>L25</f>
        <v>2422.012748348443</v>
      </c>
      <c r="M29" s="59">
        <f>N29-1</f>
        <v>15.55</v>
      </c>
      <c r="N29" s="59">
        <f>O29-1</f>
        <v>16.55</v>
      </c>
      <c r="O29" s="59">
        <v>17.55</v>
      </c>
      <c r="P29" s="59">
        <f>O29+1</f>
        <v>18.55</v>
      </c>
      <c r="Q29" s="74">
        <f>P29+1</f>
        <v>19.55</v>
      </c>
      <c r="R29" s="62"/>
      <c r="S29" s="62"/>
      <c r="T29" s="62"/>
    </row>
    <row r="30" spans="2:20" ht="18.75">
      <c r="B30" s="36"/>
      <c r="C30" s="28"/>
      <c r="D30" s="27"/>
      <c r="E30" s="27"/>
      <c r="F30" s="27"/>
      <c r="G30" s="27"/>
      <c r="H30" s="27"/>
      <c r="I30" s="27"/>
      <c r="J30" s="62"/>
      <c r="K30" s="447" t="s">
        <v>106</v>
      </c>
      <c r="L30" s="75">
        <v>9.8000000000000004E-2</v>
      </c>
      <c r="M30" s="76">
        <f t="dataTable" ref="M30:Q34" dt2D="1" dtr="1" r1="L7" r2="C40"/>
        <v>1606.0352851764305</v>
      </c>
      <c r="N30" s="77">
        <v>1695.1467687818408</v>
      </c>
      <c r="O30" s="77">
        <v>1784.2582523872511</v>
      </c>
      <c r="P30" s="77">
        <v>1873.3697359926616</v>
      </c>
      <c r="Q30" s="78">
        <v>1962.4812195980721</v>
      </c>
      <c r="R30" s="62"/>
      <c r="S30" s="62"/>
      <c r="T30" s="62"/>
    </row>
    <row r="31" spans="2:20" ht="18.75">
      <c r="B31" s="37" t="s">
        <v>126</v>
      </c>
      <c r="C31" s="47">
        <f>Historicals!I29</f>
        <v>-19.899999999999999</v>
      </c>
      <c r="D31" s="48">
        <f>D32*D6</f>
        <v>-23.535360000000001</v>
      </c>
      <c r="E31" s="48">
        <f t="shared" ref="E31:I31" si="9">E32*E6</f>
        <v>-27.992392600000002</v>
      </c>
      <c r="F31" s="48">
        <f t="shared" si="9"/>
        <v>-33.169381217000002</v>
      </c>
      <c r="G31" s="48">
        <f t="shared" si="9"/>
        <v>-39.371594280105001</v>
      </c>
      <c r="H31" s="48">
        <f t="shared" si="9"/>
        <v>-46.496806089640579</v>
      </c>
      <c r="I31" s="48">
        <f t="shared" si="9"/>
        <v>-54.635225001957046</v>
      </c>
      <c r="J31" s="62"/>
      <c r="K31" s="447"/>
      <c r="L31" s="75">
        <v>0.10299999999999999</v>
      </c>
      <c r="M31" s="79">
        <v>1563.9724851121309</v>
      </c>
      <c r="N31" s="80">
        <v>1650.6875673462105</v>
      </c>
      <c r="O31" s="80">
        <v>1737.4026495802902</v>
      </c>
      <c r="P31" s="80">
        <v>1824.1177318143698</v>
      </c>
      <c r="Q31" s="81">
        <v>1910.8328140484496</v>
      </c>
      <c r="R31" s="62"/>
      <c r="S31" s="62"/>
      <c r="T31" s="62"/>
    </row>
    <row r="32" spans="2:20" ht="18.75">
      <c r="B32" s="33" t="s">
        <v>22</v>
      </c>
      <c r="C32" s="34">
        <f>C31/C6</f>
        <v>-1.0316760848151795E-2</v>
      </c>
      <c r="D32" s="35">
        <v>-0.01</v>
      </c>
      <c r="E32" s="35">
        <v>-0.01</v>
      </c>
      <c r="F32" s="35">
        <v>-0.01</v>
      </c>
      <c r="G32" s="35">
        <v>-0.01</v>
      </c>
      <c r="H32" s="35">
        <v>-0.01</v>
      </c>
      <c r="I32" s="35">
        <v>-0.01</v>
      </c>
      <c r="J32" s="62"/>
      <c r="K32" s="447"/>
      <c r="L32" s="75">
        <v>0.108</v>
      </c>
      <c r="M32" s="79">
        <v>1523.1853386694743</v>
      </c>
      <c r="N32" s="80">
        <v>1607.5788686112362</v>
      </c>
      <c r="O32" s="82">
        <v>1691.9723985529984</v>
      </c>
      <c r="P32" s="80">
        <v>1776.3659284947605</v>
      </c>
      <c r="Q32" s="81">
        <v>1860.7594584365224</v>
      </c>
      <c r="R32" s="62"/>
      <c r="S32" s="62"/>
      <c r="T32" s="62"/>
    </row>
    <row r="33" spans="2:20" ht="18.75">
      <c r="B33" s="36"/>
      <c r="C33" s="28"/>
      <c r="D33" s="27"/>
      <c r="E33" s="27"/>
      <c r="F33" s="27"/>
      <c r="G33" s="27"/>
      <c r="H33" s="27"/>
      <c r="I33" s="27"/>
      <c r="J33" s="62"/>
      <c r="K33" s="447"/>
      <c r="L33" s="75">
        <v>0.113</v>
      </c>
      <c r="M33" s="79">
        <v>1483.6292335354246</v>
      </c>
      <c r="N33" s="80">
        <v>1565.7734003459902</v>
      </c>
      <c r="O33" s="80">
        <v>1647.9175671565561</v>
      </c>
      <c r="P33" s="80">
        <v>1730.0617339671219</v>
      </c>
      <c r="Q33" s="81">
        <v>1812.2059007776875</v>
      </c>
      <c r="R33" s="62"/>
      <c r="S33" s="62"/>
      <c r="T33" s="62"/>
    </row>
    <row r="34" spans="2:20" ht="19.5" thickBot="1">
      <c r="B34" s="37" t="s">
        <v>127</v>
      </c>
      <c r="C34" s="49">
        <f t="shared" ref="C34:I34" si="10">C23+C25+C28+C31</f>
        <v>719.90000000000009</v>
      </c>
      <c r="D34" s="50">
        <f t="shared" si="10"/>
        <v>920.20132999999998</v>
      </c>
      <c r="E34" s="50">
        <f t="shared" si="10"/>
        <v>1191.36667422</v>
      </c>
      <c r="F34" s="50">
        <f t="shared" si="10"/>
        <v>1511.3718755772798</v>
      </c>
      <c r="G34" s="50">
        <f t="shared" si="10"/>
        <v>1903.0980043656309</v>
      </c>
      <c r="H34" s="50">
        <f t="shared" si="10"/>
        <v>2357.986474853325</v>
      </c>
      <c r="I34" s="50">
        <f t="shared" si="10"/>
        <v>2882.2268352572373</v>
      </c>
      <c r="J34" s="62"/>
      <c r="K34" s="448"/>
      <c r="L34" s="83">
        <v>0.11799999999999999</v>
      </c>
      <c r="M34" s="84">
        <v>1445.2613149371887</v>
      </c>
      <c r="N34" s="85">
        <v>1525.2257537300666</v>
      </c>
      <c r="O34" s="85">
        <v>1605.1901925229449</v>
      </c>
      <c r="P34" s="85">
        <v>1685.1546313158231</v>
      </c>
      <c r="Q34" s="86">
        <v>1765.1190701087012</v>
      </c>
      <c r="R34" s="62"/>
      <c r="S34" s="62"/>
      <c r="T34" s="62"/>
    </row>
    <row r="35" spans="2:20" ht="18.75">
      <c r="B35" s="27"/>
      <c r="C35" s="27"/>
      <c r="D35" s="27"/>
      <c r="E35" s="27"/>
      <c r="F35" s="27"/>
      <c r="G35" s="27"/>
      <c r="H35" s="27"/>
      <c r="I35" s="27"/>
      <c r="J35" s="62"/>
      <c r="K35" s="65"/>
      <c r="L35" s="66"/>
      <c r="M35" s="62"/>
      <c r="N35" s="62"/>
      <c r="O35" s="62"/>
      <c r="P35" s="62"/>
      <c r="Q35" s="62"/>
      <c r="R35" s="62"/>
      <c r="S35" s="62"/>
      <c r="T35" s="62"/>
    </row>
    <row r="36" spans="2:20" ht="18.75">
      <c r="B36" s="87" t="s">
        <v>128</v>
      </c>
      <c r="C36" s="90">
        <v>2024</v>
      </c>
      <c r="D36" s="89">
        <v>2025</v>
      </c>
      <c r="E36" s="89">
        <v>2026</v>
      </c>
      <c r="F36" s="89">
        <v>2027</v>
      </c>
      <c r="G36" s="89">
        <v>2028</v>
      </c>
      <c r="H36" s="89">
        <v>2029</v>
      </c>
      <c r="I36" s="89">
        <v>2030</v>
      </c>
      <c r="J36" s="62"/>
      <c r="K36" s="26"/>
      <c r="L36" s="64"/>
      <c r="M36" s="62"/>
      <c r="N36" s="62"/>
      <c r="O36" s="62"/>
      <c r="P36" s="62"/>
      <c r="Q36" s="62"/>
      <c r="R36" s="62"/>
      <c r="S36" s="62"/>
      <c r="T36" s="62"/>
    </row>
    <row r="37" spans="2:20" ht="18.75">
      <c r="B37" s="27"/>
      <c r="C37" s="28"/>
      <c r="D37" s="27"/>
      <c r="E37" s="27"/>
      <c r="F37" s="27"/>
      <c r="G37" s="27"/>
      <c r="H37" s="27"/>
      <c r="I37" s="27"/>
      <c r="J37" s="62"/>
      <c r="K37" s="336"/>
      <c r="L37" s="40"/>
      <c r="M37" s="62"/>
      <c r="N37" s="62"/>
      <c r="O37" s="62"/>
      <c r="P37" s="62"/>
      <c r="Q37" s="62"/>
      <c r="R37" s="62"/>
      <c r="S37" s="62"/>
      <c r="T37" s="62"/>
    </row>
    <row r="38" spans="2:20" ht="18.75">
      <c r="B38" s="30" t="s">
        <v>129</v>
      </c>
      <c r="C38" s="51"/>
      <c r="D38" s="52">
        <v>0.5</v>
      </c>
      <c r="E38" s="52">
        <f>D38+1</f>
        <v>1.5</v>
      </c>
      <c r="F38" s="52">
        <f>E38+1</f>
        <v>2.5</v>
      </c>
      <c r="G38" s="52">
        <f>F38+1</f>
        <v>3.5</v>
      </c>
      <c r="H38" s="52">
        <f>G38+1</f>
        <v>4.5</v>
      </c>
      <c r="I38" s="52">
        <f>H38+1</f>
        <v>5.5</v>
      </c>
      <c r="J38" s="62"/>
      <c r="K38" s="337"/>
      <c r="L38" s="42"/>
      <c r="M38" s="62"/>
      <c r="N38" s="62"/>
      <c r="O38" s="62"/>
      <c r="P38" s="62"/>
      <c r="Q38" s="62"/>
      <c r="R38" s="62"/>
      <c r="S38" s="62"/>
      <c r="T38" s="62"/>
    </row>
    <row r="39" spans="2:20" ht="18.75">
      <c r="B39" s="27"/>
      <c r="C39" s="28"/>
      <c r="D39" s="27"/>
      <c r="E39" s="27"/>
      <c r="F39" s="27"/>
      <c r="G39" s="27"/>
      <c r="H39" s="27"/>
      <c r="I39" s="27"/>
      <c r="J39" s="62"/>
      <c r="K39" s="336"/>
      <c r="L39" s="40"/>
      <c r="M39" s="62"/>
      <c r="N39" s="62"/>
      <c r="O39" s="62"/>
      <c r="P39" s="62"/>
      <c r="Q39" s="62"/>
      <c r="R39" s="62"/>
      <c r="S39" s="62"/>
      <c r="T39" s="62"/>
    </row>
    <row r="40" spans="2:20" ht="18.75">
      <c r="B40" s="30" t="s">
        <v>106</v>
      </c>
      <c r="C40" s="53">
        <v>0.1</v>
      </c>
      <c r="D40" s="54">
        <f t="shared" ref="D40:I40" si="11">C40</f>
        <v>0.1</v>
      </c>
      <c r="E40" s="54">
        <f t="shared" si="11"/>
        <v>0.1</v>
      </c>
      <c r="F40" s="54">
        <f t="shared" si="11"/>
        <v>0.1</v>
      </c>
      <c r="G40" s="54">
        <f t="shared" si="11"/>
        <v>0.1</v>
      </c>
      <c r="H40" s="54">
        <f t="shared" si="11"/>
        <v>0.1</v>
      </c>
      <c r="I40" s="54">
        <f t="shared" si="11"/>
        <v>0.1</v>
      </c>
      <c r="J40" s="62"/>
      <c r="K40" s="336"/>
      <c r="L40" s="40"/>
      <c r="M40" s="62"/>
      <c r="N40" s="62"/>
      <c r="O40" s="62"/>
      <c r="P40" s="62"/>
      <c r="Q40" s="62"/>
      <c r="R40" s="62"/>
      <c r="S40" s="62"/>
      <c r="T40" s="62"/>
    </row>
    <row r="41" spans="2:20" ht="18.75">
      <c r="B41" s="27"/>
      <c r="C41" s="28"/>
      <c r="D41" s="27"/>
      <c r="E41" s="27"/>
      <c r="F41" s="27"/>
      <c r="G41" s="27"/>
      <c r="H41" s="27"/>
      <c r="I41" s="27"/>
      <c r="J41" s="62"/>
      <c r="K41" s="26"/>
      <c r="L41" s="44"/>
      <c r="M41" s="62"/>
      <c r="N41" s="62"/>
      <c r="O41" s="62"/>
      <c r="P41" s="62"/>
      <c r="Q41" s="62"/>
      <c r="R41" s="62"/>
      <c r="S41" s="62"/>
      <c r="T41" s="62"/>
    </row>
    <row r="42" spans="2:20" ht="18.75">
      <c r="B42" s="30" t="s">
        <v>130</v>
      </c>
      <c r="C42" s="55">
        <f>(1/((1+$J$39)^C38))</f>
        <v>1</v>
      </c>
      <c r="D42" s="56">
        <f t="shared" ref="D42:I42" si="12">(1/((1+$C$40)^D38))</f>
        <v>0.95346258924559224</v>
      </c>
      <c r="E42" s="56">
        <f t="shared" si="12"/>
        <v>0.86678417204144742</v>
      </c>
      <c r="F42" s="56">
        <f t="shared" si="12"/>
        <v>0.78798561094677033</v>
      </c>
      <c r="G42" s="56">
        <f t="shared" si="12"/>
        <v>0.71635055540615489</v>
      </c>
      <c r="H42" s="56">
        <f t="shared" si="12"/>
        <v>0.65122777764195883</v>
      </c>
      <c r="I42" s="56">
        <f t="shared" si="12"/>
        <v>0.59202525240178083</v>
      </c>
      <c r="J42" s="442"/>
      <c r="K42" s="65"/>
      <c r="L42" s="71"/>
      <c r="M42" s="62"/>
      <c r="N42" s="62"/>
      <c r="O42" s="62"/>
      <c r="P42" s="62"/>
      <c r="Q42" s="62"/>
      <c r="R42" s="62"/>
      <c r="S42" s="62"/>
      <c r="T42" s="62"/>
    </row>
    <row r="43" spans="2:20" ht="18.75">
      <c r="B43" s="27"/>
      <c r="C43" s="28"/>
      <c r="D43" s="27"/>
      <c r="E43" s="27"/>
      <c r="F43" s="27"/>
      <c r="G43" s="27"/>
      <c r="H43" s="27"/>
      <c r="I43" s="27"/>
      <c r="J43" s="62"/>
      <c r="K43" s="336"/>
      <c r="L43" s="40"/>
      <c r="M43" s="62"/>
      <c r="N43" s="62"/>
      <c r="O43" s="62"/>
      <c r="P43" s="62"/>
      <c r="Q43" s="62"/>
      <c r="R43" s="62"/>
      <c r="S43" s="62"/>
      <c r="T43" s="62"/>
    </row>
    <row r="44" spans="2:20" ht="18.75">
      <c r="B44" s="30" t="s">
        <v>131</v>
      </c>
      <c r="C44" s="57">
        <f t="shared" ref="C44:I44" si="13">C34*C42</f>
        <v>719.90000000000009</v>
      </c>
      <c r="D44" s="58">
        <f t="shared" si="13"/>
        <v>877.37754272903771</v>
      </c>
      <c r="E44" s="58">
        <f t="shared" si="13"/>
        <v>1032.6577763115556</v>
      </c>
      <c r="F44" s="58">
        <f t="shared" si="13"/>
        <v>1190.939290744529</v>
      </c>
      <c r="G44" s="58">
        <f t="shared" si="13"/>
        <v>1363.2853124196647</v>
      </c>
      <c r="H44" s="58">
        <f t="shared" si="13"/>
        <v>1535.5862917285274</v>
      </c>
      <c r="I44" s="58">
        <f t="shared" si="13"/>
        <v>1706.3510696223518</v>
      </c>
      <c r="J44" s="62"/>
      <c r="K44" s="336"/>
      <c r="L44" s="45"/>
      <c r="M44" s="62"/>
      <c r="N44" s="62"/>
      <c r="O44" s="62"/>
      <c r="P44" s="62"/>
      <c r="Q44" s="62"/>
      <c r="R44" s="62"/>
      <c r="S44" s="62"/>
      <c r="T44" s="62"/>
    </row>
  </sheetData>
  <mergeCells count="6">
    <mergeCell ref="K30:K34"/>
    <mergeCell ref="K4:L4"/>
    <mergeCell ref="N4:O4"/>
    <mergeCell ref="R15:S15"/>
    <mergeCell ref="K28:L28"/>
    <mergeCell ref="M28:Q28"/>
  </mergeCells>
  <conditionalFormatting sqref="M30:Q34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0ADF5-6A7D-4BF4-9E0B-74DD90D3D135}">
  <dimension ref="C3:K1275"/>
  <sheetViews>
    <sheetView showGridLines="0" workbookViewId="0">
      <selection activeCell="F38" sqref="F38"/>
    </sheetView>
  </sheetViews>
  <sheetFormatPr defaultRowHeight="15"/>
  <cols>
    <col min="3" max="3" width="10.7109375" bestFit="1" customWidth="1"/>
    <col min="8" max="8" width="10.7109375" bestFit="1" customWidth="1"/>
  </cols>
  <sheetData>
    <row r="3" spans="3:11">
      <c r="C3" t="s">
        <v>132</v>
      </c>
      <c r="H3" t="s">
        <v>133</v>
      </c>
    </row>
    <row r="5" spans="3:11">
      <c r="C5" t="s">
        <v>65</v>
      </c>
      <c r="D5" t="s">
        <v>134</v>
      </c>
      <c r="E5" t="s">
        <v>135</v>
      </c>
      <c r="F5" t="s">
        <v>136</v>
      </c>
      <c r="H5" t="s">
        <v>65</v>
      </c>
      <c r="I5" t="s">
        <v>134</v>
      </c>
      <c r="J5" t="s">
        <v>135</v>
      </c>
      <c r="K5" t="s">
        <v>136</v>
      </c>
    </row>
    <row r="6" spans="3:11">
      <c r="C6" s="3">
        <v>45951</v>
      </c>
      <c r="D6">
        <v>1591.5</v>
      </c>
      <c r="E6">
        <v>212564</v>
      </c>
      <c r="F6">
        <v>444472</v>
      </c>
      <c r="H6" s="3">
        <v>45951</v>
      </c>
      <c r="I6">
        <v>1591.5</v>
      </c>
      <c r="J6">
        <v>6670000</v>
      </c>
      <c r="K6">
        <v>13007333</v>
      </c>
    </row>
    <row r="7" spans="3:11">
      <c r="C7" s="3">
        <v>45950</v>
      </c>
      <c r="D7">
        <v>1620.39</v>
      </c>
      <c r="E7">
        <v>160848</v>
      </c>
      <c r="F7">
        <v>447785</v>
      </c>
      <c r="H7" s="3">
        <v>45930</v>
      </c>
      <c r="I7">
        <v>1496.53</v>
      </c>
      <c r="J7">
        <v>21710000</v>
      </c>
      <c r="K7">
        <v>13674000</v>
      </c>
    </row>
    <row r="8" spans="3:11">
      <c r="C8" s="3">
        <v>45947</v>
      </c>
      <c r="D8">
        <v>1616</v>
      </c>
      <c r="E8">
        <v>256520</v>
      </c>
      <c r="F8">
        <v>446686</v>
      </c>
      <c r="H8" s="3">
        <v>45838</v>
      </c>
      <c r="I8">
        <v>1827.96</v>
      </c>
      <c r="J8">
        <v>16330000</v>
      </c>
      <c r="K8">
        <v>13574000</v>
      </c>
    </row>
    <row r="9" spans="3:11">
      <c r="C9" s="3">
        <v>45946</v>
      </c>
      <c r="D9">
        <v>1620.14</v>
      </c>
      <c r="E9">
        <v>287658</v>
      </c>
      <c r="F9">
        <v>442853</v>
      </c>
      <c r="H9" s="3">
        <v>45747</v>
      </c>
      <c r="I9">
        <v>1844.16</v>
      </c>
      <c r="J9">
        <v>12570000</v>
      </c>
      <c r="K9">
        <v>13508667</v>
      </c>
    </row>
    <row r="10" spans="3:11">
      <c r="C10" s="3">
        <v>45945</v>
      </c>
      <c r="D10">
        <v>1636.65</v>
      </c>
      <c r="E10">
        <v>273383</v>
      </c>
      <c r="F10">
        <v>435258</v>
      </c>
      <c r="H10" s="3">
        <v>45657</v>
      </c>
      <c r="I10">
        <v>1990.93</v>
      </c>
      <c r="J10">
        <v>9890000</v>
      </c>
      <c r="K10">
        <v>13366000</v>
      </c>
    </row>
    <row r="11" spans="3:11">
      <c r="C11" s="3">
        <v>45944</v>
      </c>
      <c r="D11">
        <v>1649.51</v>
      </c>
      <c r="E11">
        <v>403742</v>
      </c>
      <c r="F11">
        <v>426140</v>
      </c>
      <c r="H11" s="3">
        <v>45565</v>
      </c>
      <c r="I11">
        <v>1943.52</v>
      </c>
      <c r="J11">
        <v>9980000</v>
      </c>
      <c r="K11">
        <v>13682667</v>
      </c>
    </row>
    <row r="12" spans="3:11">
      <c r="C12" s="3">
        <v>45943</v>
      </c>
      <c r="D12">
        <v>1649.99</v>
      </c>
      <c r="E12">
        <v>288559</v>
      </c>
      <c r="F12">
        <v>410094</v>
      </c>
      <c r="H12" s="3">
        <v>45471</v>
      </c>
      <c r="I12">
        <v>1488.66</v>
      </c>
      <c r="J12">
        <v>12060000</v>
      </c>
      <c r="K12">
        <v>13738000</v>
      </c>
    </row>
    <row r="13" spans="3:11">
      <c r="C13" s="3">
        <v>45940</v>
      </c>
      <c r="D13">
        <v>1665.21</v>
      </c>
      <c r="E13">
        <v>297716</v>
      </c>
      <c r="F13">
        <v>410752</v>
      </c>
      <c r="H13" s="3">
        <v>45380</v>
      </c>
      <c r="I13">
        <v>1249.6099999999999</v>
      </c>
      <c r="J13">
        <v>10530000</v>
      </c>
      <c r="K13">
        <v>13885333</v>
      </c>
    </row>
    <row r="14" spans="3:11">
      <c r="C14" s="3">
        <v>45939</v>
      </c>
      <c r="D14">
        <v>1708.77</v>
      </c>
      <c r="E14">
        <v>322138</v>
      </c>
      <c r="F14">
        <v>425595</v>
      </c>
      <c r="H14" s="3">
        <v>45289</v>
      </c>
      <c r="I14">
        <v>1164.01</v>
      </c>
      <c r="J14">
        <v>12370000</v>
      </c>
      <c r="K14">
        <v>14402000</v>
      </c>
    </row>
    <row r="15" spans="3:11">
      <c r="C15" s="3">
        <v>45938</v>
      </c>
      <c r="D15">
        <v>1695.01</v>
      </c>
      <c r="E15">
        <v>771197</v>
      </c>
      <c r="F15">
        <v>422267</v>
      </c>
      <c r="H15" s="3">
        <v>45198</v>
      </c>
      <c r="I15">
        <v>868.53</v>
      </c>
      <c r="J15">
        <v>10300000</v>
      </c>
      <c r="K15">
        <v>14843333</v>
      </c>
    </row>
    <row r="16" spans="3:11">
      <c r="C16" s="3">
        <v>45937</v>
      </c>
      <c r="D16">
        <v>1879.55</v>
      </c>
      <c r="E16">
        <v>363062</v>
      </c>
      <c r="F16">
        <v>394917</v>
      </c>
      <c r="H16" s="3">
        <v>45107</v>
      </c>
      <c r="I16">
        <v>809.21</v>
      </c>
      <c r="J16">
        <v>12590000</v>
      </c>
      <c r="K16">
        <v>15095333</v>
      </c>
    </row>
    <row r="17" spans="3:11">
      <c r="C17" s="3">
        <v>45936</v>
      </c>
      <c r="D17">
        <v>1850.18</v>
      </c>
      <c r="E17">
        <v>482292</v>
      </c>
      <c r="F17">
        <v>381726</v>
      </c>
      <c r="H17" s="3">
        <v>45016</v>
      </c>
      <c r="I17">
        <v>702.69</v>
      </c>
      <c r="J17">
        <v>17770000</v>
      </c>
      <c r="K17">
        <v>15333333</v>
      </c>
    </row>
    <row r="18" spans="3:11">
      <c r="C18" s="3">
        <v>45933</v>
      </c>
      <c r="D18">
        <v>1850.65</v>
      </c>
      <c r="E18">
        <v>598558</v>
      </c>
      <c r="F18">
        <v>360891</v>
      </c>
      <c r="H18" s="3">
        <v>44925</v>
      </c>
      <c r="I18">
        <v>598.58000000000004</v>
      </c>
      <c r="J18">
        <v>14340000</v>
      </c>
      <c r="K18">
        <v>15104000</v>
      </c>
    </row>
    <row r="19" spans="3:11">
      <c r="C19" s="3">
        <v>45932</v>
      </c>
      <c r="D19">
        <v>1784.68</v>
      </c>
      <c r="E19">
        <v>1710152</v>
      </c>
      <c r="F19">
        <v>335950</v>
      </c>
      <c r="H19" s="3">
        <v>44834</v>
      </c>
      <c r="I19">
        <v>412.01</v>
      </c>
      <c r="J19">
        <v>10750000</v>
      </c>
      <c r="K19">
        <v>15010667</v>
      </c>
    </row>
    <row r="20" spans="3:11">
      <c r="C20" s="3">
        <v>45931</v>
      </c>
      <c r="D20">
        <v>1512.71</v>
      </c>
      <c r="E20">
        <v>238689</v>
      </c>
      <c r="F20">
        <v>241974</v>
      </c>
      <c r="H20" s="3">
        <v>44742</v>
      </c>
      <c r="I20">
        <v>400.9</v>
      </c>
      <c r="J20">
        <v>17250000</v>
      </c>
      <c r="K20">
        <v>15451333</v>
      </c>
    </row>
    <row r="21" spans="3:11">
      <c r="C21" s="3">
        <v>45930</v>
      </c>
      <c r="D21">
        <v>1496.53</v>
      </c>
      <c r="E21">
        <v>262263</v>
      </c>
      <c r="F21">
        <v>255126</v>
      </c>
      <c r="H21" s="3">
        <v>44651</v>
      </c>
      <c r="I21">
        <v>466.46</v>
      </c>
      <c r="J21">
        <v>16670000</v>
      </c>
      <c r="K21">
        <v>15204000</v>
      </c>
    </row>
    <row r="22" spans="3:11">
      <c r="C22" s="3">
        <v>45929</v>
      </c>
      <c r="D22">
        <v>1525.44</v>
      </c>
      <c r="E22">
        <v>144367</v>
      </c>
      <c r="F22">
        <v>252197</v>
      </c>
      <c r="H22" s="3">
        <v>44561</v>
      </c>
      <c r="I22">
        <v>433.67</v>
      </c>
      <c r="J22">
        <v>20210000</v>
      </c>
      <c r="K22">
        <v>15073333</v>
      </c>
    </row>
    <row r="23" spans="3:11">
      <c r="C23" s="3">
        <v>45926</v>
      </c>
      <c r="D23">
        <v>1518.78</v>
      </c>
      <c r="E23">
        <v>199014</v>
      </c>
      <c r="F23">
        <v>262571</v>
      </c>
      <c r="H23" s="3">
        <v>44469</v>
      </c>
      <c r="I23">
        <v>397.93</v>
      </c>
      <c r="J23">
        <v>15350000</v>
      </c>
      <c r="K23">
        <v>14453333</v>
      </c>
    </row>
    <row r="24" spans="3:11">
      <c r="C24" s="3">
        <v>45925</v>
      </c>
      <c r="D24">
        <v>1548.36</v>
      </c>
      <c r="E24">
        <v>173743</v>
      </c>
      <c r="F24">
        <v>262293</v>
      </c>
      <c r="H24" s="3">
        <v>44377</v>
      </c>
      <c r="I24">
        <v>502.68</v>
      </c>
      <c r="J24">
        <v>10430000</v>
      </c>
      <c r="K24">
        <v>13995333</v>
      </c>
    </row>
    <row r="25" spans="3:11">
      <c r="C25" s="3">
        <v>45924</v>
      </c>
      <c r="D25">
        <v>1543.18</v>
      </c>
      <c r="E25">
        <v>136602</v>
      </c>
      <c r="F25">
        <v>274250</v>
      </c>
      <c r="H25" s="3">
        <v>44286</v>
      </c>
      <c r="I25">
        <v>486.05</v>
      </c>
      <c r="J25">
        <v>14640000</v>
      </c>
      <c r="K25">
        <v>13994667</v>
      </c>
    </row>
    <row r="26" spans="3:11">
      <c r="C26" s="3">
        <v>45923</v>
      </c>
      <c r="D26">
        <v>1534.77</v>
      </c>
      <c r="E26">
        <v>163057</v>
      </c>
      <c r="F26">
        <v>287457</v>
      </c>
      <c r="H26" s="3">
        <v>44196</v>
      </c>
      <c r="I26">
        <v>511.04</v>
      </c>
      <c r="J26">
        <v>10810000</v>
      </c>
      <c r="K26">
        <v>13696667</v>
      </c>
    </row>
    <row r="27" spans="3:11">
      <c r="C27" s="3">
        <v>45922</v>
      </c>
      <c r="D27">
        <v>1538.95</v>
      </c>
      <c r="E27">
        <v>298432</v>
      </c>
      <c r="F27">
        <v>298887</v>
      </c>
      <c r="H27" s="3">
        <v>44104</v>
      </c>
      <c r="I27">
        <v>425.38</v>
      </c>
      <c r="J27">
        <v>14270000</v>
      </c>
      <c r="K27">
        <v>13602667</v>
      </c>
    </row>
    <row r="28" spans="3:11">
      <c r="C28" s="3">
        <v>45919</v>
      </c>
      <c r="D28">
        <v>1477.21</v>
      </c>
      <c r="E28">
        <v>520352</v>
      </c>
      <c r="F28">
        <v>322384</v>
      </c>
      <c r="H28" s="3">
        <v>44012</v>
      </c>
      <c r="I28">
        <v>418.04</v>
      </c>
      <c r="J28">
        <v>18280000</v>
      </c>
      <c r="K28">
        <v>13528667</v>
      </c>
    </row>
    <row r="29" spans="3:11">
      <c r="C29" s="3">
        <v>45918</v>
      </c>
      <c r="D29">
        <v>1522.1</v>
      </c>
      <c r="E29">
        <v>272222</v>
      </c>
      <c r="F29">
        <v>312184</v>
      </c>
      <c r="H29" s="3">
        <v>43921</v>
      </c>
      <c r="I29">
        <v>307.69</v>
      </c>
      <c r="J29">
        <v>18990000</v>
      </c>
      <c r="K29">
        <v>13068667</v>
      </c>
    </row>
    <row r="30" spans="3:11">
      <c r="C30" s="3">
        <v>45917</v>
      </c>
      <c r="D30">
        <v>1551.83</v>
      </c>
      <c r="E30">
        <v>360952</v>
      </c>
      <c r="F30">
        <v>314456</v>
      </c>
      <c r="H30" s="3">
        <v>43830</v>
      </c>
      <c r="I30">
        <v>374.68</v>
      </c>
      <c r="J30">
        <v>14080000</v>
      </c>
      <c r="K30">
        <v>12516667</v>
      </c>
    </row>
    <row r="31" spans="3:11">
      <c r="C31" s="3">
        <v>45916</v>
      </c>
      <c r="D31">
        <v>1553.54</v>
      </c>
      <c r="E31">
        <v>165191</v>
      </c>
      <c r="F31">
        <v>321643</v>
      </c>
      <c r="H31" s="3">
        <v>43738</v>
      </c>
      <c r="I31">
        <v>303.52</v>
      </c>
      <c r="J31">
        <v>16160000</v>
      </c>
      <c r="K31">
        <v>12677333</v>
      </c>
    </row>
    <row r="32" spans="3:11">
      <c r="C32" s="3">
        <v>45915</v>
      </c>
      <c r="D32">
        <v>1555.21</v>
      </c>
      <c r="E32">
        <v>169767</v>
      </c>
      <c r="F32">
        <v>324844</v>
      </c>
      <c r="H32" s="3">
        <v>43644</v>
      </c>
      <c r="I32">
        <v>314.02</v>
      </c>
      <c r="J32">
        <v>14330000</v>
      </c>
      <c r="K32">
        <v>12327333</v>
      </c>
    </row>
    <row r="33" spans="3:11">
      <c r="C33" s="3">
        <v>45912</v>
      </c>
      <c r="D33">
        <v>1544.05</v>
      </c>
      <c r="E33">
        <v>224449</v>
      </c>
      <c r="F33">
        <v>331912</v>
      </c>
      <c r="H33" s="3">
        <v>43553</v>
      </c>
      <c r="I33">
        <v>271.63</v>
      </c>
      <c r="J33">
        <v>12940000</v>
      </c>
      <c r="K33">
        <v>12099333</v>
      </c>
    </row>
    <row r="34" spans="3:11">
      <c r="C34" s="3">
        <v>45911</v>
      </c>
      <c r="D34">
        <v>1596.56</v>
      </c>
      <c r="E34">
        <v>300516</v>
      </c>
      <c r="F34">
        <v>331910</v>
      </c>
      <c r="H34" s="3">
        <v>43465</v>
      </c>
      <c r="I34">
        <v>187</v>
      </c>
      <c r="J34">
        <v>17360000</v>
      </c>
      <c r="K34">
        <v>12037333</v>
      </c>
    </row>
    <row r="35" spans="3:11">
      <c r="C35" s="3">
        <v>45910</v>
      </c>
      <c r="D35">
        <v>1530.36</v>
      </c>
      <c r="E35">
        <v>435967</v>
      </c>
      <c r="F35">
        <v>343977</v>
      </c>
      <c r="H35" s="3">
        <v>43371</v>
      </c>
      <c r="I35">
        <v>228.55</v>
      </c>
      <c r="J35">
        <v>13540000</v>
      </c>
      <c r="K35">
        <v>11846000</v>
      </c>
    </row>
    <row r="36" spans="3:11">
      <c r="C36" s="3">
        <v>45909</v>
      </c>
      <c r="D36">
        <v>1546.56</v>
      </c>
      <c r="E36">
        <v>218325</v>
      </c>
      <c r="F36">
        <v>339312</v>
      </c>
      <c r="H36" s="3">
        <v>43280</v>
      </c>
      <c r="I36">
        <v>193.32</v>
      </c>
      <c r="J36">
        <v>14710000</v>
      </c>
      <c r="K36">
        <v>11826667</v>
      </c>
    </row>
    <row r="37" spans="3:11">
      <c r="C37" s="3">
        <v>45908</v>
      </c>
      <c r="D37">
        <v>1538.2</v>
      </c>
      <c r="E37">
        <v>299969</v>
      </c>
      <c r="F37">
        <v>338394</v>
      </c>
      <c r="H37" s="3">
        <v>43189</v>
      </c>
      <c r="I37">
        <v>169.37</v>
      </c>
      <c r="J37">
        <v>10910000</v>
      </c>
      <c r="K37">
        <v>11842667</v>
      </c>
    </row>
    <row r="38" spans="3:11">
      <c r="C38" s="3">
        <v>45905</v>
      </c>
      <c r="D38">
        <v>1531.99</v>
      </c>
      <c r="E38">
        <v>194847</v>
      </c>
      <c r="F38">
        <v>332922</v>
      </c>
      <c r="H38" s="3">
        <v>43098</v>
      </c>
      <c r="I38">
        <v>153.19999999999999</v>
      </c>
      <c r="J38">
        <v>8480000</v>
      </c>
      <c r="K38">
        <v>12031333</v>
      </c>
    </row>
    <row r="39" spans="3:11">
      <c r="C39" s="3">
        <v>45904</v>
      </c>
      <c r="D39">
        <v>1518.92</v>
      </c>
      <c r="E39">
        <v>353099</v>
      </c>
      <c r="F39">
        <v>350676</v>
      </c>
      <c r="H39" s="3">
        <v>43007</v>
      </c>
      <c r="I39">
        <v>140.5</v>
      </c>
      <c r="J39">
        <v>10420000</v>
      </c>
      <c r="K39">
        <v>12258667</v>
      </c>
    </row>
    <row r="40" spans="3:11">
      <c r="C40" s="3">
        <v>45903</v>
      </c>
      <c r="D40">
        <v>1520.75</v>
      </c>
      <c r="E40">
        <v>334711</v>
      </c>
      <c r="F40">
        <v>359255</v>
      </c>
      <c r="H40" s="3">
        <v>42916</v>
      </c>
      <c r="I40">
        <v>139.41</v>
      </c>
      <c r="J40">
        <v>10170000</v>
      </c>
      <c r="K40">
        <v>12242000</v>
      </c>
    </row>
    <row r="41" spans="3:11">
      <c r="C41" s="3">
        <v>45902</v>
      </c>
      <c r="D41">
        <v>1504.88</v>
      </c>
      <c r="E41">
        <v>334499</v>
      </c>
      <c r="F41">
        <v>349717</v>
      </c>
      <c r="H41" s="3">
        <v>42825</v>
      </c>
      <c r="I41">
        <v>128.94999999999999</v>
      </c>
      <c r="J41">
        <v>9400000</v>
      </c>
      <c r="K41">
        <v>12159333</v>
      </c>
    </row>
    <row r="42" spans="3:11">
      <c r="C42" s="3">
        <v>45898</v>
      </c>
      <c r="D42">
        <v>1521.64</v>
      </c>
      <c r="E42">
        <v>650896</v>
      </c>
      <c r="F42">
        <v>344918</v>
      </c>
      <c r="H42" s="3">
        <v>42734</v>
      </c>
      <c r="I42">
        <v>119.22</v>
      </c>
      <c r="J42">
        <v>13160000</v>
      </c>
      <c r="K42">
        <v>12354000</v>
      </c>
    </row>
    <row r="43" spans="3:11">
      <c r="C43" s="3">
        <v>45897</v>
      </c>
      <c r="D43">
        <v>1506.37</v>
      </c>
      <c r="E43">
        <v>367346</v>
      </c>
      <c r="F43">
        <v>322105</v>
      </c>
      <c r="H43" s="3">
        <v>42643</v>
      </c>
      <c r="I43">
        <v>124.59</v>
      </c>
      <c r="J43">
        <v>11380000</v>
      </c>
      <c r="K43">
        <v>12242000</v>
      </c>
    </row>
    <row r="44" spans="3:11">
      <c r="C44" s="3">
        <v>45896</v>
      </c>
      <c r="D44">
        <v>1419.37</v>
      </c>
      <c r="E44">
        <v>306303</v>
      </c>
      <c r="F44">
        <v>322698</v>
      </c>
      <c r="H44" s="3">
        <v>42551</v>
      </c>
      <c r="I44">
        <v>113.01</v>
      </c>
      <c r="J44">
        <v>10710000</v>
      </c>
      <c r="K44">
        <v>12267333</v>
      </c>
    </row>
    <row r="45" spans="3:11">
      <c r="C45" s="3">
        <v>45895</v>
      </c>
      <c r="D45">
        <v>1420.13</v>
      </c>
      <c r="E45">
        <v>468754</v>
      </c>
      <c r="F45">
        <v>326864</v>
      </c>
      <c r="H45" s="3">
        <v>42460</v>
      </c>
      <c r="I45">
        <v>106.09</v>
      </c>
      <c r="J45">
        <v>16490000</v>
      </c>
      <c r="K45">
        <v>12404000</v>
      </c>
    </row>
    <row r="46" spans="3:11">
      <c r="C46" s="3">
        <v>45894</v>
      </c>
      <c r="D46">
        <v>1423.87</v>
      </c>
      <c r="E46">
        <v>213211</v>
      </c>
      <c r="F46">
        <v>323514</v>
      </c>
      <c r="H46" s="3">
        <v>42369</v>
      </c>
      <c r="I46">
        <v>94.18</v>
      </c>
      <c r="J46">
        <v>10910000</v>
      </c>
      <c r="K46">
        <v>12459333</v>
      </c>
    </row>
    <row r="47" spans="3:11">
      <c r="C47" s="3">
        <v>45891</v>
      </c>
      <c r="D47">
        <v>1415.9</v>
      </c>
      <c r="E47">
        <v>275789</v>
      </c>
      <c r="F47">
        <v>331305</v>
      </c>
      <c r="H47" s="3">
        <v>42277</v>
      </c>
      <c r="I47">
        <v>84.5</v>
      </c>
      <c r="J47">
        <v>10910000</v>
      </c>
      <c r="K47">
        <v>12900667</v>
      </c>
    </row>
    <row r="48" spans="3:11">
      <c r="C48" s="3">
        <v>45890</v>
      </c>
      <c r="D48">
        <v>1361.72</v>
      </c>
      <c r="E48">
        <v>224419</v>
      </c>
      <c r="F48">
        <v>366172</v>
      </c>
      <c r="H48" s="3">
        <v>42185</v>
      </c>
      <c r="I48">
        <v>90.78</v>
      </c>
      <c r="J48">
        <v>12010000</v>
      </c>
      <c r="K48">
        <v>13826667</v>
      </c>
    </row>
    <row r="49" spans="3:11">
      <c r="C49" s="3">
        <v>45889</v>
      </c>
      <c r="D49">
        <v>1344.11</v>
      </c>
      <c r="E49">
        <v>481513</v>
      </c>
      <c r="F49">
        <v>410736</v>
      </c>
      <c r="H49" s="3">
        <v>42094</v>
      </c>
      <c r="I49">
        <v>88.72</v>
      </c>
      <c r="J49">
        <v>14490000</v>
      </c>
      <c r="K49">
        <v>14802667</v>
      </c>
    </row>
    <row r="50" spans="3:11">
      <c r="C50" s="3">
        <v>45888</v>
      </c>
      <c r="D50">
        <v>1384.93</v>
      </c>
      <c r="E50">
        <v>365993</v>
      </c>
      <c r="F50">
        <v>396833</v>
      </c>
      <c r="H50" s="3">
        <v>42004</v>
      </c>
      <c r="I50">
        <v>72.3</v>
      </c>
      <c r="J50">
        <v>13250000</v>
      </c>
      <c r="K50">
        <v>15153333</v>
      </c>
    </row>
    <row r="51" spans="3:11">
      <c r="C51" s="3">
        <v>45887</v>
      </c>
      <c r="D51">
        <v>1350.14</v>
      </c>
      <c r="E51">
        <v>204554</v>
      </c>
      <c r="F51">
        <v>390866</v>
      </c>
      <c r="H51" s="3">
        <v>41912</v>
      </c>
      <c r="I51">
        <v>55.1</v>
      </c>
      <c r="J51">
        <v>14950000</v>
      </c>
      <c r="K51">
        <v>15630667</v>
      </c>
    </row>
    <row r="52" spans="3:11">
      <c r="C52" s="3">
        <v>45884</v>
      </c>
      <c r="D52">
        <v>1343.16</v>
      </c>
      <c r="E52">
        <v>217889</v>
      </c>
      <c r="F52">
        <v>389733</v>
      </c>
      <c r="H52" s="3">
        <v>41820</v>
      </c>
      <c r="I52">
        <v>63.76</v>
      </c>
      <c r="J52">
        <v>13740000</v>
      </c>
      <c r="K52">
        <v>15679333</v>
      </c>
    </row>
    <row r="53" spans="3:11">
      <c r="C53" s="3">
        <v>45883</v>
      </c>
      <c r="D53">
        <v>1318.18</v>
      </c>
      <c r="E53">
        <v>461165</v>
      </c>
      <c r="F53">
        <v>384145</v>
      </c>
      <c r="H53" s="3">
        <v>41729</v>
      </c>
      <c r="I53">
        <v>55.32</v>
      </c>
      <c r="J53">
        <v>11890000</v>
      </c>
      <c r="K53">
        <v>16423333</v>
      </c>
    </row>
    <row r="54" spans="3:11">
      <c r="C54" s="3">
        <v>45882</v>
      </c>
      <c r="D54">
        <v>1335.29</v>
      </c>
      <c r="E54">
        <v>481790</v>
      </c>
      <c r="F54">
        <v>368075</v>
      </c>
      <c r="H54" s="3">
        <v>41639</v>
      </c>
      <c r="I54">
        <v>62.84</v>
      </c>
      <c r="J54">
        <v>10170000</v>
      </c>
      <c r="K54">
        <v>17297334</v>
      </c>
    </row>
    <row r="55" spans="3:11">
      <c r="C55" s="3">
        <v>45881</v>
      </c>
      <c r="D55">
        <v>1318.7</v>
      </c>
      <c r="E55">
        <v>191630</v>
      </c>
      <c r="F55">
        <v>352528</v>
      </c>
      <c r="H55" s="3">
        <v>41547</v>
      </c>
      <c r="I55">
        <v>55.28</v>
      </c>
      <c r="J55">
        <v>8930000</v>
      </c>
      <c r="K55">
        <v>17801334</v>
      </c>
    </row>
    <row r="56" spans="3:11">
      <c r="C56" s="3">
        <v>45880</v>
      </c>
      <c r="D56">
        <v>1311.26</v>
      </c>
      <c r="E56">
        <v>262516</v>
      </c>
      <c r="F56">
        <v>360661</v>
      </c>
      <c r="H56" s="3">
        <v>41453</v>
      </c>
      <c r="I56">
        <v>45.83</v>
      </c>
      <c r="J56">
        <v>12320000</v>
      </c>
      <c r="K56">
        <v>18496000</v>
      </c>
    </row>
    <row r="57" spans="3:11">
      <c r="C57" s="3">
        <v>45877</v>
      </c>
      <c r="D57">
        <v>1320.88</v>
      </c>
      <c r="E57">
        <v>308708</v>
      </c>
      <c r="F57">
        <v>360007</v>
      </c>
      <c r="H57" s="3">
        <v>41362</v>
      </c>
      <c r="I57">
        <v>45.69</v>
      </c>
      <c r="J57">
        <v>11480000</v>
      </c>
      <c r="K57">
        <v>19596666</v>
      </c>
    </row>
    <row r="58" spans="3:11">
      <c r="C58" s="3">
        <v>45876</v>
      </c>
      <c r="D58">
        <v>1333.62</v>
      </c>
      <c r="E58">
        <v>376229</v>
      </c>
      <c r="F58">
        <v>352096</v>
      </c>
      <c r="H58" s="3">
        <v>41274</v>
      </c>
      <c r="I58">
        <v>42.03</v>
      </c>
      <c r="J58">
        <v>11760000</v>
      </c>
      <c r="K58">
        <v>20676666</v>
      </c>
    </row>
    <row r="59" spans="3:11">
      <c r="C59" s="3">
        <v>45875</v>
      </c>
      <c r="D59">
        <v>1393.61</v>
      </c>
      <c r="E59">
        <v>368804</v>
      </c>
      <c r="F59">
        <v>346470</v>
      </c>
      <c r="H59" s="3">
        <v>41180</v>
      </c>
      <c r="I59">
        <v>44.26</v>
      </c>
      <c r="J59">
        <v>12760000</v>
      </c>
      <c r="K59">
        <v>22172000</v>
      </c>
    </row>
    <row r="60" spans="3:11">
      <c r="C60" s="3">
        <v>45874</v>
      </c>
      <c r="D60">
        <v>1343.12</v>
      </c>
      <c r="E60">
        <v>418498</v>
      </c>
      <c r="F60">
        <v>351897</v>
      </c>
      <c r="H60" s="3">
        <v>41089</v>
      </c>
      <c r="I60">
        <v>42.28</v>
      </c>
      <c r="J60">
        <v>17320000</v>
      </c>
      <c r="K60">
        <v>23888000</v>
      </c>
    </row>
    <row r="61" spans="3:11">
      <c r="C61" s="3">
        <v>45873</v>
      </c>
      <c r="D61">
        <v>1360.99</v>
      </c>
      <c r="E61">
        <v>330076</v>
      </c>
      <c r="F61">
        <v>365580</v>
      </c>
      <c r="H61" s="3">
        <v>40998</v>
      </c>
      <c r="I61">
        <v>43.9</v>
      </c>
      <c r="J61">
        <v>17530000</v>
      </c>
      <c r="K61">
        <v>25413334</v>
      </c>
    </row>
    <row r="62" spans="3:11">
      <c r="C62" s="3">
        <v>45870</v>
      </c>
      <c r="D62">
        <v>1381.07</v>
      </c>
      <c r="E62">
        <v>798791</v>
      </c>
      <c r="F62">
        <v>369828</v>
      </c>
      <c r="H62" s="3">
        <v>40907</v>
      </c>
      <c r="I62">
        <v>35.840000000000003</v>
      </c>
      <c r="J62">
        <v>24800000</v>
      </c>
      <c r="K62">
        <v>26638000</v>
      </c>
    </row>
    <row r="63" spans="3:11">
      <c r="C63" s="3">
        <v>45869</v>
      </c>
      <c r="D63">
        <v>1436.72</v>
      </c>
      <c r="E63">
        <v>892879</v>
      </c>
      <c r="F63">
        <v>341898</v>
      </c>
      <c r="H63" s="3">
        <v>40816</v>
      </c>
      <c r="I63">
        <v>21.83</v>
      </c>
      <c r="J63">
        <v>26650000</v>
      </c>
      <c r="K63">
        <v>28226666</v>
      </c>
    </row>
    <row r="64" spans="3:11">
      <c r="C64" s="3">
        <v>45868</v>
      </c>
      <c r="D64">
        <v>1527.8</v>
      </c>
      <c r="E64">
        <v>272980</v>
      </c>
      <c r="F64">
        <v>320131</v>
      </c>
      <c r="H64" s="3">
        <v>40724</v>
      </c>
      <c r="I64">
        <v>30.2</v>
      </c>
      <c r="J64">
        <v>19750000</v>
      </c>
      <c r="K64">
        <v>29596666</v>
      </c>
    </row>
    <row r="65" spans="3:11">
      <c r="C65" s="3">
        <v>45867</v>
      </c>
      <c r="D65">
        <v>1505.06</v>
      </c>
      <c r="E65">
        <v>276477</v>
      </c>
      <c r="F65">
        <v>346297</v>
      </c>
      <c r="H65" s="3">
        <v>40633</v>
      </c>
      <c r="I65">
        <v>31.61</v>
      </c>
      <c r="J65">
        <v>20410000</v>
      </c>
      <c r="K65">
        <v>31050666</v>
      </c>
    </row>
    <row r="66" spans="3:11">
      <c r="C66" s="3">
        <v>45866</v>
      </c>
      <c r="D66">
        <v>1513.73</v>
      </c>
      <c r="E66">
        <v>187567</v>
      </c>
      <c r="F66">
        <v>418936</v>
      </c>
      <c r="H66" s="3">
        <v>40543</v>
      </c>
      <c r="I66">
        <v>23.37</v>
      </c>
      <c r="J66">
        <v>15680000</v>
      </c>
      <c r="K66">
        <v>33427334</v>
      </c>
    </row>
    <row r="67" spans="3:11">
      <c r="C67" s="3">
        <v>45863</v>
      </c>
      <c r="D67">
        <v>1532.52</v>
      </c>
      <c r="E67">
        <v>134062</v>
      </c>
      <c r="F67">
        <v>419207</v>
      </c>
      <c r="H67" s="3">
        <v>40451</v>
      </c>
      <c r="I67">
        <v>24.66</v>
      </c>
      <c r="J67">
        <v>24900000</v>
      </c>
      <c r="K67">
        <v>34334668</v>
      </c>
    </row>
    <row r="68" spans="3:11">
      <c r="C68" s="3">
        <v>45862</v>
      </c>
      <c r="D68">
        <v>1535.8</v>
      </c>
      <c r="E68">
        <v>220123</v>
      </c>
      <c r="F68">
        <v>416188</v>
      </c>
      <c r="H68" s="3">
        <v>40359</v>
      </c>
      <c r="I68">
        <v>21.79</v>
      </c>
      <c r="J68">
        <v>25000000</v>
      </c>
      <c r="K68">
        <v>35734000</v>
      </c>
    </row>
    <row r="69" spans="3:11">
      <c r="C69" s="3">
        <v>45861</v>
      </c>
      <c r="D69">
        <v>1531.26</v>
      </c>
      <c r="E69">
        <v>248581</v>
      </c>
      <c r="F69">
        <v>413335</v>
      </c>
      <c r="H69" s="3">
        <v>40268</v>
      </c>
      <c r="I69">
        <v>25.34</v>
      </c>
      <c r="J69">
        <v>17730000</v>
      </c>
      <c r="K69">
        <v>36998668</v>
      </c>
    </row>
    <row r="70" spans="3:11">
      <c r="C70" s="3">
        <v>45860</v>
      </c>
      <c r="D70">
        <v>1531.63</v>
      </c>
      <c r="E70">
        <v>313617</v>
      </c>
      <c r="F70">
        <v>409128</v>
      </c>
      <c r="H70" s="3">
        <v>40178</v>
      </c>
      <c r="I70">
        <v>21.31</v>
      </c>
      <c r="J70">
        <v>19350000</v>
      </c>
      <c r="K70">
        <v>39046000</v>
      </c>
    </row>
    <row r="71" spans="3:11">
      <c r="C71" s="3">
        <v>45859</v>
      </c>
      <c r="D71">
        <v>1531.09</v>
      </c>
      <c r="E71">
        <v>252706</v>
      </c>
      <c r="F71">
        <v>407962</v>
      </c>
      <c r="H71" s="3">
        <v>40086</v>
      </c>
      <c r="I71">
        <v>21.49</v>
      </c>
      <c r="J71">
        <v>28830000</v>
      </c>
      <c r="K71">
        <v>40630000</v>
      </c>
    </row>
    <row r="72" spans="3:11">
      <c r="C72" s="3">
        <v>45856</v>
      </c>
      <c r="D72">
        <v>1541.62</v>
      </c>
      <c r="E72">
        <v>190046</v>
      </c>
      <c r="F72">
        <v>420851</v>
      </c>
      <c r="H72" s="3">
        <v>39994</v>
      </c>
      <c r="I72">
        <v>15.46</v>
      </c>
      <c r="J72">
        <v>27680000</v>
      </c>
      <c r="K72">
        <v>41116668</v>
      </c>
    </row>
    <row r="73" spans="3:11">
      <c r="C73" s="3">
        <v>45855</v>
      </c>
      <c r="D73">
        <v>1525.29</v>
      </c>
      <c r="E73">
        <v>291847</v>
      </c>
      <c r="F73">
        <v>429514</v>
      </c>
      <c r="H73" s="3">
        <v>39903</v>
      </c>
      <c r="I73">
        <v>14.07</v>
      </c>
      <c r="J73">
        <v>34190000</v>
      </c>
      <c r="K73">
        <v>41054000</v>
      </c>
    </row>
    <row r="74" spans="3:11">
      <c r="C74" s="3">
        <v>45854</v>
      </c>
      <c r="D74">
        <v>1536.75</v>
      </c>
      <c r="E74">
        <v>450207</v>
      </c>
      <c r="F74">
        <v>422392</v>
      </c>
      <c r="H74" s="3">
        <v>39813</v>
      </c>
      <c r="I74">
        <v>16.86</v>
      </c>
      <c r="J74">
        <v>38500000</v>
      </c>
      <c r="K74">
        <v>40480668</v>
      </c>
    </row>
    <row r="75" spans="3:11">
      <c r="C75" s="3">
        <v>45853</v>
      </c>
      <c r="D75">
        <v>1507.15</v>
      </c>
      <c r="E75">
        <v>623744</v>
      </c>
      <c r="F75">
        <v>406488</v>
      </c>
      <c r="H75" s="3">
        <v>39721</v>
      </c>
      <c r="I75">
        <v>23.05</v>
      </c>
      <c r="J75">
        <v>40200000</v>
      </c>
      <c r="K75">
        <v>39407332</v>
      </c>
    </row>
    <row r="76" spans="3:11">
      <c r="C76" s="3">
        <v>45852</v>
      </c>
      <c r="D76">
        <v>1547.02</v>
      </c>
      <c r="E76">
        <v>393795</v>
      </c>
      <c r="F76">
        <v>382241</v>
      </c>
      <c r="H76" s="3">
        <v>39629</v>
      </c>
      <c r="I76">
        <v>20.77</v>
      </c>
      <c r="J76">
        <v>35900000</v>
      </c>
      <c r="K76">
        <v>39095332</v>
      </c>
    </row>
    <row r="77" spans="3:11">
      <c r="C77" s="3">
        <v>45849</v>
      </c>
      <c r="D77">
        <v>1544.23</v>
      </c>
      <c r="E77">
        <v>379837</v>
      </c>
      <c r="F77">
        <v>373409</v>
      </c>
      <c r="H77" s="3">
        <v>39538</v>
      </c>
      <c r="I77">
        <v>21.52</v>
      </c>
      <c r="J77">
        <v>48630000</v>
      </c>
      <c r="K77">
        <v>40866668</v>
      </c>
    </row>
    <row r="78" spans="3:11">
      <c r="C78" s="3">
        <v>45848</v>
      </c>
      <c r="D78">
        <v>1584.38</v>
      </c>
      <c r="E78">
        <v>566383</v>
      </c>
      <c r="F78">
        <v>362747</v>
      </c>
      <c r="H78" s="3">
        <v>39447</v>
      </c>
      <c r="I78">
        <v>32.15</v>
      </c>
      <c r="J78">
        <v>47200000</v>
      </c>
      <c r="K78">
        <v>40809332</v>
      </c>
    </row>
    <row r="79" spans="3:11">
      <c r="C79" s="3">
        <v>45847</v>
      </c>
      <c r="D79">
        <v>1591.73</v>
      </c>
      <c r="E79">
        <v>665459</v>
      </c>
      <c r="F79">
        <v>338884</v>
      </c>
      <c r="H79" s="3">
        <v>39353</v>
      </c>
      <c r="I79">
        <v>36.11</v>
      </c>
      <c r="J79">
        <v>41560000</v>
      </c>
      <c r="K79">
        <v>41350000</v>
      </c>
    </row>
    <row r="80" spans="3:11">
      <c r="C80" s="3">
        <v>45846</v>
      </c>
      <c r="D80">
        <v>1703.17</v>
      </c>
      <c r="E80">
        <v>1366073</v>
      </c>
      <c r="F80">
        <v>306913</v>
      </c>
      <c r="H80" s="3">
        <v>39262</v>
      </c>
      <c r="I80">
        <v>40.119999999999997</v>
      </c>
      <c r="J80">
        <v>56060000</v>
      </c>
      <c r="K80">
        <v>42998668</v>
      </c>
    </row>
    <row r="81" spans="3:11">
      <c r="C81" s="3">
        <v>45845</v>
      </c>
      <c r="D81">
        <v>1869.83</v>
      </c>
      <c r="E81">
        <v>191631</v>
      </c>
      <c r="F81">
        <v>233772</v>
      </c>
      <c r="H81" s="3">
        <v>39171</v>
      </c>
      <c r="I81">
        <v>38.68</v>
      </c>
      <c r="J81">
        <v>29290000</v>
      </c>
      <c r="K81">
        <v>42941332</v>
      </c>
    </row>
    <row r="82" spans="3:11">
      <c r="C82" s="3">
        <v>45841</v>
      </c>
      <c r="D82">
        <v>1855.38</v>
      </c>
      <c r="E82">
        <v>88775</v>
      </c>
      <c r="F82">
        <v>235528</v>
      </c>
      <c r="H82" s="3">
        <v>39080</v>
      </c>
      <c r="I82">
        <v>40.65</v>
      </c>
      <c r="J82">
        <v>45890000</v>
      </c>
      <c r="K82">
        <v>43577332</v>
      </c>
    </row>
    <row r="83" spans="3:11">
      <c r="C83" s="3">
        <v>45840</v>
      </c>
      <c r="D83">
        <v>1842.78</v>
      </c>
      <c r="E83">
        <v>177330</v>
      </c>
      <c r="F83">
        <v>244295</v>
      </c>
      <c r="H83" s="3">
        <v>38989</v>
      </c>
      <c r="I83">
        <v>36.57</v>
      </c>
      <c r="J83">
        <v>43970000</v>
      </c>
      <c r="K83">
        <v>43847332</v>
      </c>
    </row>
    <row r="84" spans="3:11">
      <c r="C84" s="3">
        <v>45839</v>
      </c>
      <c r="D84">
        <v>1843.18</v>
      </c>
      <c r="E84">
        <v>185467</v>
      </c>
      <c r="F84">
        <v>245700</v>
      </c>
      <c r="H84" s="3">
        <v>38898</v>
      </c>
      <c r="I84">
        <v>36.31</v>
      </c>
      <c r="J84">
        <v>48440000</v>
      </c>
      <c r="K84">
        <v>43286668</v>
      </c>
    </row>
    <row r="85" spans="3:11">
      <c r="C85" s="3">
        <v>45838</v>
      </c>
      <c r="D85">
        <v>1827.96</v>
      </c>
      <c r="E85">
        <v>296129</v>
      </c>
      <c r="F85">
        <v>248995</v>
      </c>
      <c r="H85" s="3">
        <v>38807</v>
      </c>
      <c r="I85">
        <v>39.619999999999997</v>
      </c>
      <c r="J85">
        <v>43110000</v>
      </c>
      <c r="K85">
        <v>42625332</v>
      </c>
    </row>
    <row r="86" spans="3:11">
      <c r="C86" s="3">
        <v>45835</v>
      </c>
      <c r="D86">
        <v>1816.26</v>
      </c>
      <c r="E86">
        <v>446035</v>
      </c>
      <c r="F86">
        <v>241009</v>
      </c>
      <c r="H86" s="3">
        <v>38716</v>
      </c>
      <c r="I86">
        <v>44.17</v>
      </c>
      <c r="J86">
        <v>36130000</v>
      </c>
      <c r="K86">
        <v>42753332</v>
      </c>
    </row>
    <row r="87" spans="3:11">
      <c r="C87" s="3">
        <v>45834</v>
      </c>
      <c r="D87">
        <v>1815.84</v>
      </c>
      <c r="E87">
        <v>320001</v>
      </c>
      <c r="F87">
        <v>222075</v>
      </c>
      <c r="H87" s="3">
        <v>38625</v>
      </c>
      <c r="I87">
        <v>44.8</v>
      </c>
      <c r="J87">
        <v>26740000</v>
      </c>
      <c r="K87">
        <v>42611332</v>
      </c>
    </row>
    <row r="88" spans="3:11">
      <c r="C88" s="3">
        <v>45833</v>
      </c>
      <c r="D88">
        <v>1893.45</v>
      </c>
      <c r="E88">
        <v>185011</v>
      </c>
      <c r="F88">
        <v>213646</v>
      </c>
      <c r="H88" s="3">
        <v>38533</v>
      </c>
      <c r="I88">
        <v>36.5</v>
      </c>
      <c r="J88">
        <v>25590000</v>
      </c>
      <c r="K88">
        <v>42848000</v>
      </c>
    </row>
    <row r="89" spans="3:11">
      <c r="C89" s="3">
        <v>45832</v>
      </c>
      <c r="D89">
        <v>1926.52</v>
      </c>
      <c r="E89">
        <v>211656</v>
      </c>
      <c r="F89">
        <v>219373</v>
      </c>
      <c r="H89" s="3">
        <v>38442</v>
      </c>
      <c r="I89">
        <v>34.44</v>
      </c>
      <c r="J89">
        <v>22400000</v>
      </c>
      <c r="K89">
        <v>42673332</v>
      </c>
    </row>
    <row r="90" spans="3:11">
      <c r="C90" s="3">
        <v>45831</v>
      </c>
      <c r="D90">
        <v>1881.25</v>
      </c>
      <c r="E90">
        <v>260036</v>
      </c>
      <c r="F90">
        <v>226524</v>
      </c>
      <c r="H90" s="3">
        <v>38352</v>
      </c>
      <c r="I90">
        <v>36.68</v>
      </c>
      <c r="J90">
        <v>35520000</v>
      </c>
      <c r="K90">
        <v>42454668</v>
      </c>
    </row>
    <row r="91" spans="3:11">
      <c r="C91" s="3">
        <v>45828</v>
      </c>
      <c r="D91">
        <v>1804.82</v>
      </c>
      <c r="E91">
        <v>261308</v>
      </c>
      <c r="F91">
        <v>238956</v>
      </c>
      <c r="H91" s="3">
        <v>38260</v>
      </c>
      <c r="I91">
        <v>29.2</v>
      </c>
      <c r="J91">
        <v>62470000</v>
      </c>
      <c r="K91">
        <v>41358668</v>
      </c>
    </row>
    <row r="92" spans="3:11">
      <c r="C92" s="3">
        <v>45826</v>
      </c>
      <c r="D92">
        <v>1763.64</v>
      </c>
      <c r="E92">
        <v>219907</v>
      </c>
      <c r="F92">
        <v>258776</v>
      </c>
      <c r="H92" s="3">
        <v>38168</v>
      </c>
      <c r="I92">
        <v>33.380000000000003</v>
      </c>
      <c r="J92">
        <v>47770000</v>
      </c>
      <c r="K92">
        <v>37880668</v>
      </c>
    </row>
    <row r="93" spans="3:11">
      <c r="C93" s="3">
        <v>45825</v>
      </c>
      <c r="D93">
        <v>1776.94</v>
      </c>
      <c r="E93">
        <v>208436</v>
      </c>
      <c r="F93">
        <v>293186</v>
      </c>
      <c r="H93" s="3">
        <v>38077</v>
      </c>
      <c r="I93">
        <v>36.08</v>
      </c>
      <c r="J93">
        <v>55310000</v>
      </c>
      <c r="K93">
        <v>35190000</v>
      </c>
    </row>
    <row r="94" spans="3:11">
      <c r="C94" s="3">
        <v>45824</v>
      </c>
      <c r="D94">
        <v>1814.39</v>
      </c>
      <c r="E94">
        <v>185906</v>
      </c>
      <c r="F94">
        <v>345985</v>
      </c>
      <c r="H94" s="3">
        <v>37986</v>
      </c>
      <c r="I94">
        <v>32.770000000000003</v>
      </c>
      <c r="J94">
        <v>66290000</v>
      </c>
      <c r="K94">
        <v>32048000</v>
      </c>
    </row>
    <row r="95" spans="3:11">
      <c r="C95" s="3">
        <v>45821</v>
      </c>
      <c r="D95">
        <v>1784.57</v>
      </c>
      <c r="E95">
        <v>268948</v>
      </c>
      <c r="F95">
        <v>352947</v>
      </c>
      <c r="H95" s="3">
        <v>37894</v>
      </c>
      <c r="I95">
        <v>39.31</v>
      </c>
      <c r="J95">
        <v>55200000</v>
      </c>
      <c r="K95">
        <v>28383334</v>
      </c>
    </row>
    <row r="96" spans="3:11">
      <c r="C96" s="3">
        <v>45820</v>
      </c>
      <c r="D96">
        <v>1784.37</v>
      </c>
      <c r="E96">
        <v>217971</v>
      </c>
      <c r="F96">
        <v>375639</v>
      </c>
      <c r="H96" s="3">
        <v>37802</v>
      </c>
      <c r="I96">
        <v>34.299999999999997</v>
      </c>
      <c r="J96">
        <v>38830000</v>
      </c>
      <c r="K96">
        <v>25364000</v>
      </c>
    </row>
    <row r="97" spans="3:11">
      <c r="C97" s="3">
        <v>45819</v>
      </c>
      <c r="D97">
        <v>1805</v>
      </c>
      <c r="E97">
        <v>220288</v>
      </c>
      <c r="F97">
        <v>423890</v>
      </c>
      <c r="H97" s="3">
        <v>37711</v>
      </c>
      <c r="I97">
        <v>33.880000000000003</v>
      </c>
      <c r="J97">
        <v>49940000</v>
      </c>
      <c r="K97">
        <v>23575334</v>
      </c>
    </row>
    <row r="98" spans="3:11">
      <c r="C98" s="3">
        <v>45818</v>
      </c>
      <c r="D98">
        <v>1785</v>
      </c>
      <c r="E98">
        <v>198394</v>
      </c>
      <c r="F98">
        <v>447840</v>
      </c>
      <c r="H98" s="3">
        <v>37621</v>
      </c>
      <c r="I98">
        <v>28.47</v>
      </c>
      <c r="J98">
        <v>35560000</v>
      </c>
      <c r="K98">
        <v>20741334</v>
      </c>
    </row>
    <row r="99" spans="3:11">
      <c r="C99" s="3">
        <v>45817</v>
      </c>
      <c r="D99">
        <v>1749.41</v>
      </c>
      <c r="E99">
        <v>234892</v>
      </c>
      <c r="F99">
        <v>448072</v>
      </c>
      <c r="H99" s="3">
        <v>37529</v>
      </c>
      <c r="I99">
        <v>21.8</v>
      </c>
      <c r="J99">
        <v>38520000</v>
      </c>
      <c r="K99">
        <v>19170666</v>
      </c>
    </row>
    <row r="100" spans="3:11">
      <c r="C100" s="3">
        <v>45814</v>
      </c>
      <c r="D100">
        <v>1775.1</v>
      </c>
      <c r="E100">
        <v>176346</v>
      </c>
      <c r="F100">
        <v>443333</v>
      </c>
      <c r="H100" s="3">
        <v>37435</v>
      </c>
      <c r="I100">
        <v>21.91</v>
      </c>
      <c r="J100">
        <v>45030000</v>
      </c>
      <c r="K100">
        <v>17042000</v>
      </c>
    </row>
    <row r="101" spans="3:11">
      <c r="C101" s="3">
        <v>45813</v>
      </c>
      <c r="D101">
        <v>1771.9</v>
      </c>
      <c r="E101">
        <v>162031</v>
      </c>
      <c r="F101">
        <v>442367</v>
      </c>
      <c r="H101" s="3">
        <v>37344</v>
      </c>
      <c r="I101">
        <v>28.17</v>
      </c>
      <c r="J101">
        <v>34000000</v>
      </c>
      <c r="K101">
        <v>14400000</v>
      </c>
    </row>
    <row r="102" spans="3:11">
      <c r="C102" s="3">
        <v>45812</v>
      </c>
      <c r="D102">
        <v>1755.03</v>
      </c>
      <c r="E102">
        <v>193563</v>
      </c>
      <c r="F102">
        <v>438779</v>
      </c>
      <c r="H102" s="3">
        <v>37256</v>
      </c>
      <c r="I102">
        <v>28.01</v>
      </c>
      <c r="J102">
        <v>30290000</v>
      </c>
      <c r="K102">
        <v>12514667</v>
      </c>
    </row>
    <row r="103" spans="3:11">
      <c r="C103" s="3">
        <v>45811</v>
      </c>
      <c r="D103">
        <v>1741.55</v>
      </c>
      <c r="E103">
        <v>270908</v>
      </c>
      <c r="F103">
        <v>435936</v>
      </c>
      <c r="H103" s="3">
        <v>37162</v>
      </c>
      <c r="I103">
        <v>20.99</v>
      </c>
      <c r="J103">
        <v>22970000</v>
      </c>
      <c r="K103">
        <v>11082667</v>
      </c>
    </row>
    <row r="104" spans="3:11">
      <c r="C104" s="3">
        <v>45810</v>
      </c>
      <c r="D104">
        <v>1748.26</v>
      </c>
      <c r="E104">
        <v>318930</v>
      </c>
      <c r="F104">
        <v>430010</v>
      </c>
      <c r="H104" s="3">
        <v>37071</v>
      </c>
      <c r="I104">
        <v>27.48</v>
      </c>
      <c r="J104">
        <v>19120000</v>
      </c>
      <c r="K104">
        <v>9908000</v>
      </c>
    </row>
    <row r="105" spans="3:11">
      <c r="C105" s="3">
        <v>45807</v>
      </c>
      <c r="D105">
        <v>1726.28</v>
      </c>
      <c r="E105">
        <v>446519</v>
      </c>
      <c r="F105">
        <v>418026</v>
      </c>
      <c r="H105" s="3">
        <v>36980</v>
      </c>
      <c r="I105">
        <v>17.34</v>
      </c>
      <c r="J105">
        <v>19080000</v>
      </c>
      <c r="K105">
        <v>8991333</v>
      </c>
    </row>
    <row r="106" spans="3:11">
      <c r="C106" s="3">
        <v>45806</v>
      </c>
      <c r="D106">
        <v>1685</v>
      </c>
      <c r="E106">
        <v>558608</v>
      </c>
      <c r="F106">
        <v>400589</v>
      </c>
      <c r="H106" s="3">
        <v>36889</v>
      </c>
      <c r="I106">
        <v>15.11</v>
      </c>
      <c r="J106">
        <v>10300000</v>
      </c>
      <c r="K106">
        <v>8024667</v>
      </c>
    </row>
    <row r="107" spans="3:11">
      <c r="C107" s="3">
        <v>45805</v>
      </c>
      <c r="D107">
        <v>1619.94</v>
      </c>
      <c r="E107">
        <v>736051</v>
      </c>
      <c r="F107">
        <v>374013</v>
      </c>
      <c r="H107" s="3">
        <v>36798</v>
      </c>
      <c r="I107">
        <v>12.65</v>
      </c>
      <c r="J107">
        <v>7410000</v>
      </c>
      <c r="K107">
        <v>7557334</v>
      </c>
    </row>
    <row r="108" spans="3:11">
      <c r="C108" s="3">
        <v>45804</v>
      </c>
      <c r="D108">
        <v>1503.62</v>
      </c>
      <c r="E108">
        <v>1000423</v>
      </c>
      <c r="F108">
        <v>332707</v>
      </c>
      <c r="H108" s="3">
        <v>36707</v>
      </c>
      <c r="I108">
        <v>13.04</v>
      </c>
      <c r="J108">
        <v>8180000</v>
      </c>
      <c r="K108">
        <v>7435334</v>
      </c>
    </row>
    <row r="109" spans="3:11">
      <c r="C109" s="3">
        <v>45800</v>
      </c>
      <c r="D109">
        <v>1694.36</v>
      </c>
      <c r="E109">
        <v>290334</v>
      </c>
      <c r="F109">
        <v>277343</v>
      </c>
      <c r="H109" s="3">
        <v>36616</v>
      </c>
      <c r="I109">
        <v>11.52</v>
      </c>
      <c r="J109">
        <v>11320000</v>
      </c>
      <c r="K109">
        <v>7074667</v>
      </c>
    </row>
    <row r="110" spans="3:11">
      <c r="C110" s="3">
        <v>45799</v>
      </c>
      <c r="D110">
        <v>1700.32</v>
      </c>
      <c r="E110">
        <v>609323</v>
      </c>
      <c r="F110">
        <v>271616</v>
      </c>
      <c r="H110" s="3">
        <v>36525</v>
      </c>
      <c r="I110">
        <v>15.7</v>
      </c>
      <c r="J110">
        <v>9910000</v>
      </c>
      <c r="K110">
        <v>6938667</v>
      </c>
    </row>
    <row r="111" spans="3:11">
      <c r="C111" s="3">
        <v>45798</v>
      </c>
      <c r="D111">
        <v>1707.94</v>
      </c>
      <c r="E111">
        <v>941747</v>
      </c>
      <c r="F111">
        <v>244186</v>
      </c>
      <c r="H111" s="3">
        <v>36433</v>
      </c>
      <c r="I111">
        <v>8.31</v>
      </c>
      <c r="J111">
        <v>12000000</v>
      </c>
      <c r="K111">
        <v>6755334</v>
      </c>
    </row>
    <row r="112" spans="3:11">
      <c r="C112" s="3">
        <v>45797</v>
      </c>
      <c r="D112">
        <v>2027</v>
      </c>
      <c r="E112">
        <v>579535</v>
      </c>
      <c r="F112">
        <v>199416</v>
      </c>
      <c r="H112" s="3">
        <v>36341</v>
      </c>
      <c r="I112">
        <v>10.39</v>
      </c>
      <c r="J112">
        <v>7430000</v>
      </c>
      <c r="K112">
        <v>6151334</v>
      </c>
    </row>
    <row r="113" spans="3:11">
      <c r="C113" s="3">
        <v>45796</v>
      </c>
      <c r="D113">
        <v>2206.0100000000002</v>
      </c>
      <c r="E113">
        <v>201876</v>
      </c>
      <c r="F113">
        <v>174019</v>
      </c>
      <c r="H113" s="3">
        <v>36250</v>
      </c>
      <c r="I113">
        <v>10.98</v>
      </c>
      <c r="J113">
        <v>12000000</v>
      </c>
      <c r="K113">
        <v>6064667</v>
      </c>
    </row>
    <row r="114" spans="3:11">
      <c r="C114" s="3">
        <v>45793</v>
      </c>
      <c r="D114">
        <v>2201.89</v>
      </c>
      <c r="E114">
        <v>163794</v>
      </c>
      <c r="F114">
        <v>173982</v>
      </c>
      <c r="H114" s="3">
        <v>36160</v>
      </c>
      <c r="I114">
        <v>13.69</v>
      </c>
      <c r="J114">
        <v>6590000</v>
      </c>
      <c r="K114">
        <v>5698667</v>
      </c>
    </row>
    <row r="115" spans="3:11">
      <c r="C115" s="3">
        <v>45792</v>
      </c>
      <c r="D115">
        <v>2180.44</v>
      </c>
      <c r="E115">
        <v>161856</v>
      </c>
      <c r="F115">
        <v>175224</v>
      </c>
      <c r="H115" s="3">
        <v>36068</v>
      </c>
      <c r="I115">
        <v>9.89</v>
      </c>
      <c r="J115">
        <v>5400000</v>
      </c>
      <c r="K115">
        <v>5852667</v>
      </c>
    </row>
    <row r="116" spans="3:11">
      <c r="C116" s="3">
        <v>45791</v>
      </c>
      <c r="D116">
        <v>2125.9</v>
      </c>
      <c r="E116">
        <v>108221</v>
      </c>
      <c r="F116">
        <v>176553</v>
      </c>
      <c r="H116" s="3">
        <v>35976</v>
      </c>
      <c r="I116">
        <v>11.26</v>
      </c>
      <c r="J116">
        <v>5720000</v>
      </c>
      <c r="K116">
        <v>6095334</v>
      </c>
    </row>
    <row r="117" spans="3:11">
      <c r="C117" s="3">
        <v>45790</v>
      </c>
      <c r="D117">
        <v>2136.0300000000002</v>
      </c>
      <c r="E117">
        <v>150910</v>
      </c>
      <c r="F117">
        <v>180563</v>
      </c>
      <c r="H117" s="3">
        <v>35885</v>
      </c>
      <c r="I117">
        <v>11.19</v>
      </c>
      <c r="J117">
        <v>8810000</v>
      </c>
      <c r="K117">
        <v>6246000</v>
      </c>
    </row>
    <row r="118" spans="3:11">
      <c r="C118" s="3">
        <v>45789</v>
      </c>
      <c r="D118">
        <v>2130</v>
      </c>
      <c r="E118">
        <v>182028</v>
      </c>
      <c r="F118">
        <v>178268</v>
      </c>
      <c r="H118" s="3">
        <v>35795</v>
      </c>
      <c r="I118">
        <v>9.8699999999999992</v>
      </c>
      <c r="J118">
        <v>5350000</v>
      </c>
      <c r="K118">
        <v>6028667</v>
      </c>
    </row>
    <row r="119" spans="3:11">
      <c r="C119" s="3">
        <v>45786</v>
      </c>
      <c r="D119">
        <v>2088.2199999999998</v>
      </c>
      <c r="E119">
        <v>139170</v>
      </c>
      <c r="F119">
        <v>174610</v>
      </c>
      <c r="H119" s="3">
        <v>35703</v>
      </c>
      <c r="I119">
        <v>13.11</v>
      </c>
      <c r="J119">
        <v>5370000</v>
      </c>
      <c r="K119">
        <v>5918667</v>
      </c>
    </row>
    <row r="120" spans="3:11">
      <c r="C120" s="3">
        <v>45785</v>
      </c>
      <c r="D120">
        <v>2105.7600000000002</v>
      </c>
      <c r="E120">
        <v>184961</v>
      </c>
      <c r="F120">
        <v>175405</v>
      </c>
      <c r="H120" s="3">
        <v>35611</v>
      </c>
      <c r="I120">
        <v>13.2</v>
      </c>
      <c r="J120">
        <v>4580000</v>
      </c>
      <c r="K120">
        <v>5764667</v>
      </c>
    </row>
    <row r="121" spans="3:11">
      <c r="C121" s="3">
        <v>45784</v>
      </c>
      <c r="D121">
        <v>2095.0300000000002</v>
      </c>
      <c r="E121">
        <v>159962</v>
      </c>
      <c r="F121">
        <v>174890</v>
      </c>
      <c r="H121" s="3">
        <v>35520</v>
      </c>
      <c r="I121">
        <v>10.7</v>
      </c>
      <c r="J121">
        <v>3290000</v>
      </c>
      <c r="K121">
        <v>5787334</v>
      </c>
    </row>
    <row r="122" spans="3:11">
      <c r="C122" s="3">
        <v>45783</v>
      </c>
      <c r="D122">
        <v>2060.86</v>
      </c>
      <c r="E122">
        <v>116470</v>
      </c>
      <c r="F122">
        <v>178984</v>
      </c>
      <c r="H122" s="3">
        <v>35430</v>
      </c>
      <c r="I122">
        <v>11.59</v>
      </c>
      <c r="J122">
        <v>5580000</v>
      </c>
      <c r="K122">
        <v>5676667</v>
      </c>
    </row>
    <row r="123" spans="3:11">
      <c r="C123" s="3">
        <v>45782</v>
      </c>
      <c r="D123">
        <v>2080.41</v>
      </c>
      <c r="E123">
        <v>169957</v>
      </c>
      <c r="F123">
        <v>185189</v>
      </c>
      <c r="H123" s="3">
        <v>35338</v>
      </c>
      <c r="I123">
        <v>11.48</v>
      </c>
      <c r="J123">
        <v>2770000</v>
      </c>
      <c r="K123">
        <v>5552000</v>
      </c>
    </row>
    <row r="124" spans="3:11">
      <c r="C124" s="3">
        <v>45779</v>
      </c>
      <c r="D124">
        <v>2048.17</v>
      </c>
      <c r="E124">
        <v>204432</v>
      </c>
      <c r="F124">
        <v>189252</v>
      </c>
      <c r="H124" s="3">
        <v>35244</v>
      </c>
      <c r="I124">
        <v>13.11</v>
      </c>
      <c r="J124">
        <v>9280000</v>
      </c>
      <c r="K124">
        <v>5596000</v>
      </c>
    </row>
    <row r="125" spans="3:11">
      <c r="C125" s="3">
        <v>45778</v>
      </c>
      <c r="D125">
        <v>2001.68</v>
      </c>
      <c r="E125">
        <v>197877</v>
      </c>
      <c r="F125">
        <v>188586</v>
      </c>
      <c r="H125" s="3">
        <v>35153</v>
      </c>
      <c r="I125">
        <v>8.89</v>
      </c>
      <c r="J125">
        <v>7160000</v>
      </c>
      <c r="K125">
        <v>5069334</v>
      </c>
    </row>
    <row r="126" spans="3:11">
      <c r="C126" s="3">
        <v>45777</v>
      </c>
      <c r="D126">
        <v>1989.68</v>
      </c>
      <c r="E126">
        <v>270198</v>
      </c>
      <c r="F126">
        <v>195833</v>
      </c>
      <c r="H126" s="3">
        <v>35062</v>
      </c>
      <c r="I126">
        <v>7.67</v>
      </c>
      <c r="J126">
        <v>2940000</v>
      </c>
      <c r="K126">
        <v>4897334</v>
      </c>
    </row>
    <row r="127" spans="3:11">
      <c r="C127" s="3">
        <v>45776</v>
      </c>
      <c r="D127">
        <v>1961.5</v>
      </c>
      <c r="E127">
        <v>198576</v>
      </c>
      <c r="F127">
        <v>191838</v>
      </c>
      <c r="H127" s="3">
        <v>34971</v>
      </c>
      <c r="I127">
        <v>8.59</v>
      </c>
      <c r="J127">
        <v>6130000</v>
      </c>
      <c r="K127">
        <v>5096000</v>
      </c>
    </row>
    <row r="128" spans="3:11">
      <c r="C128" s="3">
        <v>45775</v>
      </c>
      <c r="D128">
        <v>1943.27</v>
      </c>
      <c r="E128">
        <v>201315</v>
      </c>
      <c r="F128">
        <v>200919</v>
      </c>
      <c r="H128" s="3">
        <v>34880</v>
      </c>
      <c r="I128">
        <v>8.81</v>
      </c>
      <c r="J128">
        <v>6510000</v>
      </c>
      <c r="K128">
        <v>4892000</v>
      </c>
    </row>
    <row r="129" spans="3:11">
      <c r="C129" s="3">
        <v>45772</v>
      </c>
      <c r="D129">
        <v>1952.31</v>
      </c>
      <c r="E129">
        <v>182431</v>
      </c>
      <c r="F129">
        <v>207556</v>
      </c>
      <c r="H129" s="3">
        <v>34789</v>
      </c>
      <c r="I129">
        <v>7.11</v>
      </c>
      <c r="J129">
        <v>8900000</v>
      </c>
      <c r="K129">
        <v>4737334</v>
      </c>
    </row>
    <row r="130" spans="3:11">
      <c r="C130" s="3">
        <v>45771</v>
      </c>
      <c r="D130">
        <v>1936.81</v>
      </c>
      <c r="E130">
        <v>181783</v>
      </c>
      <c r="F130">
        <v>205563</v>
      </c>
      <c r="H130" s="3">
        <v>34698</v>
      </c>
      <c r="I130">
        <v>8.33</v>
      </c>
      <c r="J130">
        <v>9040000</v>
      </c>
      <c r="K130">
        <v>4548000</v>
      </c>
    </row>
    <row r="131" spans="3:11">
      <c r="C131" s="3">
        <v>45770</v>
      </c>
      <c r="D131">
        <v>1926.06</v>
      </c>
      <c r="E131">
        <v>168376</v>
      </c>
      <c r="F131">
        <v>200471</v>
      </c>
      <c r="H131" s="3">
        <v>34607</v>
      </c>
      <c r="I131">
        <v>5.24</v>
      </c>
      <c r="J131">
        <v>7980000</v>
      </c>
      <c r="K131">
        <v>4531334</v>
      </c>
    </row>
    <row r="132" spans="3:11">
      <c r="C132" s="3">
        <v>45769</v>
      </c>
      <c r="D132">
        <v>1872.9</v>
      </c>
      <c r="E132">
        <v>116485</v>
      </c>
      <c r="F132">
        <v>197879</v>
      </c>
      <c r="H132" s="3">
        <v>34515</v>
      </c>
      <c r="I132">
        <v>4.33</v>
      </c>
      <c r="J132">
        <v>5550000</v>
      </c>
      <c r="K132">
        <v>4009413</v>
      </c>
    </row>
    <row r="133" spans="3:11">
      <c r="C133" s="3">
        <v>45768</v>
      </c>
      <c r="D133">
        <v>1816.08</v>
      </c>
      <c r="E133">
        <v>127154</v>
      </c>
      <c r="F133">
        <v>203339</v>
      </c>
      <c r="H133" s="3">
        <v>34424</v>
      </c>
      <c r="I133">
        <v>3.85</v>
      </c>
      <c r="J133">
        <v>3700000</v>
      </c>
      <c r="K133">
        <v>3671273</v>
      </c>
    </row>
    <row r="134" spans="3:11">
      <c r="C134" s="3">
        <v>45764</v>
      </c>
      <c r="D134">
        <v>1908.69</v>
      </c>
      <c r="E134">
        <v>151094</v>
      </c>
      <c r="F134">
        <v>204202</v>
      </c>
      <c r="H134" s="3">
        <v>34334</v>
      </c>
      <c r="I134">
        <v>3.33</v>
      </c>
      <c r="J134">
        <v>3060000</v>
      </c>
      <c r="K134">
        <v>3462227</v>
      </c>
    </row>
    <row r="135" spans="3:11">
      <c r="C135" s="3">
        <v>45763</v>
      </c>
      <c r="D135">
        <v>1899.78</v>
      </c>
      <c r="E135">
        <v>177238</v>
      </c>
      <c r="F135">
        <v>200052</v>
      </c>
      <c r="H135" s="3">
        <v>34242</v>
      </c>
      <c r="I135">
        <v>3.07</v>
      </c>
      <c r="J135">
        <v>4920000</v>
      </c>
      <c r="K135">
        <v>3310652</v>
      </c>
    </row>
    <row r="136" spans="3:11">
      <c r="C136" s="3">
        <v>45762</v>
      </c>
      <c r="D136">
        <v>1923.93</v>
      </c>
      <c r="E136">
        <v>221368</v>
      </c>
      <c r="F136">
        <v>196834</v>
      </c>
      <c r="H136" s="3">
        <v>34150</v>
      </c>
      <c r="I136">
        <v>2.54</v>
      </c>
      <c r="J136">
        <v>1630000</v>
      </c>
      <c r="K136">
        <v>3018607</v>
      </c>
    </row>
    <row r="137" spans="3:11">
      <c r="C137" s="3">
        <v>45761</v>
      </c>
      <c r="D137">
        <v>1932.74</v>
      </c>
      <c r="E137">
        <v>209548</v>
      </c>
      <c r="F137">
        <v>191608</v>
      </c>
      <c r="H137" s="3">
        <v>34059</v>
      </c>
      <c r="I137">
        <v>2.78</v>
      </c>
      <c r="J137">
        <v>3710000</v>
      </c>
      <c r="K137">
        <v>2963535</v>
      </c>
    </row>
    <row r="138" spans="3:11">
      <c r="C138" s="3">
        <v>45758</v>
      </c>
      <c r="D138">
        <v>1888.45</v>
      </c>
      <c r="E138">
        <v>230912</v>
      </c>
      <c r="F138">
        <v>188708</v>
      </c>
      <c r="H138" s="3">
        <v>33969</v>
      </c>
      <c r="I138">
        <v>1.85</v>
      </c>
      <c r="J138">
        <v>3430000</v>
      </c>
      <c r="K138">
        <v>2845535</v>
      </c>
    </row>
    <row r="139" spans="3:11">
      <c r="C139" s="3">
        <v>45757</v>
      </c>
      <c r="D139">
        <v>1850.06</v>
      </c>
      <c r="E139">
        <v>194429</v>
      </c>
      <c r="F139">
        <v>187713</v>
      </c>
      <c r="H139" s="3">
        <v>33877</v>
      </c>
      <c r="I139">
        <v>1.81</v>
      </c>
      <c r="J139">
        <v>1380000</v>
      </c>
      <c r="K139">
        <v>2893535</v>
      </c>
    </row>
    <row r="140" spans="3:11">
      <c r="C140" s="3">
        <v>45756</v>
      </c>
      <c r="D140">
        <v>1848</v>
      </c>
      <c r="E140">
        <v>306584</v>
      </c>
      <c r="F140">
        <v>184187</v>
      </c>
      <c r="H140" s="3">
        <v>33785</v>
      </c>
      <c r="I140">
        <v>1.93</v>
      </c>
      <c r="J140">
        <v>4580000</v>
      </c>
      <c r="K140">
        <v>2931535</v>
      </c>
    </row>
    <row r="141" spans="3:11">
      <c r="C141" s="3">
        <v>45755</v>
      </c>
      <c r="D141">
        <v>1677.11</v>
      </c>
      <c r="E141">
        <v>210284</v>
      </c>
      <c r="F141">
        <v>174036</v>
      </c>
      <c r="H141" s="3">
        <v>33694</v>
      </c>
      <c r="I141">
        <v>2.2599999999999998</v>
      </c>
      <c r="J141">
        <v>5920000</v>
      </c>
      <c r="K141">
        <v>2948868</v>
      </c>
    </row>
    <row r="142" spans="3:11">
      <c r="C142" s="3">
        <v>45754</v>
      </c>
      <c r="D142">
        <v>1713.2</v>
      </c>
      <c r="E142">
        <v>334789</v>
      </c>
      <c r="F142">
        <v>168774</v>
      </c>
      <c r="H142" s="3">
        <v>33603</v>
      </c>
      <c r="I142">
        <v>1.56</v>
      </c>
      <c r="J142">
        <v>3070000</v>
      </c>
      <c r="K142">
        <v>2627535</v>
      </c>
    </row>
    <row r="143" spans="3:11">
      <c r="C143" s="3">
        <v>45751</v>
      </c>
      <c r="D143">
        <v>1673.98</v>
      </c>
      <c r="E143">
        <v>300865</v>
      </c>
      <c r="F143">
        <v>159826</v>
      </c>
      <c r="H143" s="3">
        <v>33511</v>
      </c>
      <c r="I143">
        <v>1.26</v>
      </c>
      <c r="J143">
        <v>4190000</v>
      </c>
      <c r="K143">
        <v>2585535</v>
      </c>
    </row>
    <row r="144" spans="3:11">
      <c r="C144" s="3">
        <v>45750</v>
      </c>
      <c r="D144">
        <v>1801.05</v>
      </c>
      <c r="E144">
        <v>152529</v>
      </c>
      <c r="F144">
        <v>149493</v>
      </c>
      <c r="H144" s="3">
        <v>33417</v>
      </c>
      <c r="I144">
        <v>1.19</v>
      </c>
      <c r="J144">
        <v>6060000</v>
      </c>
      <c r="K144">
        <v>2480868</v>
      </c>
    </row>
    <row r="145" spans="3:11">
      <c r="C145" s="3">
        <v>45749</v>
      </c>
      <c r="D145">
        <v>1889.89</v>
      </c>
      <c r="E145">
        <v>105416</v>
      </c>
      <c r="F145">
        <v>149944</v>
      </c>
      <c r="H145" s="3">
        <v>33326</v>
      </c>
      <c r="I145">
        <v>1.0900000000000001</v>
      </c>
      <c r="J145">
        <v>8790000</v>
      </c>
      <c r="K145">
        <v>2508868</v>
      </c>
    </row>
    <row r="146" spans="3:11">
      <c r="C146" s="3">
        <v>45748</v>
      </c>
      <c r="D146">
        <v>1868.47</v>
      </c>
      <c r="E146">
        <v>129494</v>
      </c>
      <c r="F146">
        <v>160652</v>
      </c>
      <c r="H146" s="3">
        <v>33238</v>
      </c>
      <c r="I146">
        <v>0.7</v>
      </c>
      <c r="J146">
        <v>151200</v>
      </c>
    </row>
    <row r="147" spans="3:11">
      <c r="C147" s="3">
        <v>45747</v>
      </c>
      <c r="D147">
        <v>1844.16</v>
      </c>
      <c r="E147">
        <v>198380</v>
      </c>
      <c r="F147">
        <v>170714</v>
      </c>
      <c r="H147" s="3">
        <v>33144</v>
      </c>
      <c r="I147">
        <v>0.7</v>
      </c>
      <c r="J147">
        <v>477900</v>
      </c>
    </row>
    <row r="148" spans="3:11">
      <c r="C148" s="3">
        <v>45744</v>
      </c>
      <c r="D148">
        <v>1835.24</v>
      </c>
      <c r="E148">
        <v>140100</v>
      </c>
      <c r="F148">
        <v>176092</v>
      </c>
      <c r="H148" s="3">
        <v>33053</v>
      </c>
      <c r="I148">
        <v>0.81</v>
      </c>
      <c r="J148">
        <v>564300</v>
      </c>
    </row>
    <row r="149" spans="3:11">
      <c r="C149" s="3">
        <v>45743</v>
      </c>
      <c r="D149">
        <v>1872.28</v>
      </c>
      <c r="E149">
        <v>88846</v>
      </c>
      <c r="F149">
        <v>180994</v>
      </c>
      <c r="H149" s="3">
        <v>32962</v>
      </c>
      <c r="I149">
        <v>0.78</v>
      </c>
      <c r="J149">
        <v>786375</v>
      </c>
    </row>
    <row r="150" spans="3:11">
      <c r="C150" s="3">
        <v>45742</v>
      </c>
      <c r="D150">
        <v>1887</v>
      </c>
      <c r="E150">
        <v>128965</v>
      </c>
      <c r="F150">
        <v>187292</v>
      </c>
      <c r="H150" s="3">
        <v>32871</v>
      </c>
      <c r="I150">
        <v>0.96</v>
      </c>
      <c r="J150">
        <v>539325</v>
      </c>
    </row>
    <row r="151" spans="3:11">
      <c r="C151" s="3">
        <v>45741</v>
      </c>
      <c r="D151">
        <v>1919.64</v>
      </c>
      <c r="E151">
        <v>142984</v>
      </c>
      <c r="F151">
        <v>191822</v>
      </c>
      <c r="H151" s="3">
        <v>32780</v>
      </c>
      <c r="I151">
        <v>0.96</v>
      </c>
      <c r="J151">
        <v>803925</v>
      </c>
    </row>
    <row r="152" spans="3:11">
      <c r="C152" s="3">
        <v>45740</v>
      </c>
      <c r="D152">
        <v>1897.66</v>
      </c>
      <c r="E152">
        <v>166036</v>
      </c>
      <c r="F152">
        <v>198787</v>
      </c>
      <c r="H152" s="3">
        <v>32689</v>
      </c>
      <c r="I152">
        <v>0.81</v>
      </c>
      <c r="J152">
        <v>1940000</v>
      </c>
    </row>
    <row r="153" spans="3:11">
      <c r="C153" s="3">
        <v>45737</v>
      </c>
      <c r="D153">
        <v>1853.29</v>
      </c>
      <c r="E153">
        <v>215995</v>
      </c>
      <c r="F153">
        <v>202065</v>
      </c>
      <c r="H153" s="3">
        <v>32598</v>
      </c>
      <c r="I153">
        <v>1.26</v>
      </c>
      <c r="J153">
        <v>4150000</v>
      </c>
    </row>
    <row r="154" spans="3:11">
      <c r="C154" s="3">
        <v>45736</v>
      </c>
      <c r="D154">
        <v>1853.46</v>
      </c>
      <c r="E154">
        <v>141542</v>
      </c>
      <c r="F154">
        <v>204233</v>
      </c>
      <c r="H154" s="3">
        <v>32507</v>
      </c>
      <c r="I154">
        <v>0.96</v>
      </c>
      <c r="J154">
        <v>1950000</v>
      </c>
    </row>
    <row r="155" spans="3:11">
      <c r="C155" s="3">
        <v>45735</v>
      </c>
      <c r="D155">
        <v>1872.99</v>
      </c>
      <c r="E155">
        <v>154320</v>
      </c>
      <c r="F155">
        <v>204769</v>
      </c>
      <c r="H155" s="3">
        <v>32416</v>
      </c>
      <c r="I155">
        <v>1.1100000000000001</v>
      </c>
      <c r="J155">
        <v>4840000</v>
      </c>
    </row>
    <row r="156" spans="3:11">
      <c r="C156" s="3">
        <v>45734</v>
      </c>
      <c r="D156">
        <v>1813.61</v>
      </c>
      <c r="E156">
        <v>131345</v>
      </c>
      <c r="F156">
        <v>209351</v>
      </c>
      <c r="H156" s="3">
        <v>32324</v>
      </c>
      <c r="I156">
        <v>0.78</v>
      </c>
      <c r="J156">
        <v>1100000</v>
      </c>
    </row>
    <row r="157" spans="3:11">
      <c r="C157" s="3">
        <v>45733</v>
      </c>
      <c r="D157">
        <v>1845.85</v>
      </c>
      <c r="E157">
        <v>200580</v>
      </c>
      <c r="F157">
        <v>217375</v>
      </c>
      <c r="H157" s="3">
        <v>32233</v>
      </c>
      <c r="I157">
        <v>0.93</v>
      </c>
      <c r="J157">
        <v>2440000</v>
      </c>
    </row>
    <row r="158" spans="3:11">
      <c r="C158" s="3">
        <v>45730</v>
      </c>
      <c r="D158">
        <v>1799.9</v>
      </c>
      <c r="E158">
        <v>145865</v>
      </c>
      <c r="F158">
        <v>216264</v>
      </c>
      <c r="H158" s="3">
        <v>32142</v>
      </c>
      <c r="J158">
        <v>2620000</v>
      </c>
    </row>
    <row r="159" spans="3:11">
      <c r="C159" s="3">
        <v>45729</v>
      </c>
      <c r="D159">
        <v>1743.54</v>
      </c>
      <c r="E159">
        <v>159298</v>
      </c>
      <c r="F159">
        <v>217049</v>
      </c>
      <c r="H159" s="3">
        <v>32050</v>
      </c>
      <c r="J159">
        <v>6480000</v>
      </c>
    </row>
    <row r="160" spans="3:11">
      <c r="C160" s="3">
        <v>45728</v>
      </c>
      <c r="D160">
        <v>1779</v>
      </c>
      <c r="E160">
        <v>266036</v>
      </c>
      <c r="F160">
        <v>216389</v>
      </c>
    </row>
    <row r="161" spans="3:6">
      <c r="C161" s="3">
        <v>45727</v>
      </c>
      <c r="D161">
        <v>1722.85</v>
      </c>
      <c r="E161">
        <v>280418</v>
      </c>
      <c r="F161">
        <v>212012</v>
      </c>
    </row>
    <row r="162" spans="3:6">
      <c r="C162" s="3">
        <v>45726</v>
      </c>
      <c r="D162">
        <v>1695.35</v>
      </c>
      <c r="E162">
        <v>279057</v>
      </c>
      <c r="F162">
        <v>201614</v>
      </c>
    </row>
    <row r="163" spans="3:6">
      <c r="C163" s="3">
        <v>45723</v>
      </c>
      <c r="D163">
        <v>1834.13</v>
      </c>
      <c r="E163">
        <v>213628</v>
      </c>
      <c r="F163">
        <v>189654</v>
      </c>
    </row>
    <row r="164" spans="3:6">
      <c r="C164" s="3">
        <v>45722</v>
      </c>
      <c r="D164">
        <v>1816.51</v>
      </c>
      <c r="E164">
        <v>183306</v>
      </c>
      <c r="F164">
        <v>185386</v>
      </c>
    </row>
    <row r="165" spans="3:6">
      <c r="C165" s="3">
        <v>45721</v>
      </c>
      <c r="D165">
        <v>1873.01</v>
      </c>
      <c r="E165">
        <v>196918</v>
      </c>
      <c r="F165">
        <v>187319</v>
      </c>
    </row>
    <row r="166" spans="3:6">
      <c r="C166" s="3">
        <v>45720</v>
      </c>
      <c r="D166">
        <v>1871.03</v>
      </c>
      <c r="E166">
        <v>247457</v>
      </c>
      <c r="F166">
        <v>187168</v>
      </c>
    </row>
    <row r="167" spans="3:6">
      <c r="C167" s="3">
        <v>45719</v>
      </c>
      <c r="D167">
        <v>1864.88</v>
      </c>
      <c r="E167">
        <v>215210</v>
      </c>
      <c r="F167">
        <v>184921</v>
      </c>
    </row>
    <row r="168" spans="3:6">
      <c r="C168" s="3">
        <v>45716</v>
      </c>
      <c r="D168">
        <v>1886.35</v>
      </c>
      <c r="E168">
        <v>248509</v>
      </c>
      <c r="F168">
        <v>182504</v>
      </c>
    </row>
    <row r="169" spans="3:6">
      <c r="C169" s="3">
        <v>45715</v>
      </c>
      <c r="D169">
        <v>1836.18</v>
      </c>
      <c r="E169">
        <v>149594</v>
      </c>
      <c r="F169">
        <v>187625</v>
      </c>
    </row>
    <row r="170" spans="3:6">
      <c r="C170" s="3">
        <v>45714</v>
      </c>
      <c r="D170">
        <v>1869.97</v>
      </c>
      <c r="E170">
        <v>223043</v>
      </c>
      <c r="F170">
        <v>221677</v>
      </c>
    </row>
    <row r="171" spans="3:6">
      <c r="C171" s="3">
        <v>45713</v>
      </c>
      <c r="D171">
        <v>1816.76</v>
      </c>
      <c r="E171">
        <v>251706</v>
      </c>
      <c r="F171">
        <v>222966</v>
      </c>
    </row>
    <row r="172" spans="3:6">
      <c r="C172" s="3">
        <v>45712</v>
      </c>
      <c r="D172">
        <v>1732.2</v>
      </c>
      <c r="E172">
        <v>183919</v>
      </c>
      <c r="F172">
        <v>223980</v>
      </c>
    </row>
    <row r="173" spans="3:6">
      <c r="C173" s="3">
        <v>45709</v>
      </c>
      <c r="D173">
        <v>1698.11</v>
      </c>
      <c r="E173">
        <v>157642</v>
      </c>
      <c r="F173">
        <v>224996</v>
      </c>
    </row>
    <row r="174" spans="3:6">
      <c r="C174" s="3">
        <v>45708</v>
      </c>
      <c r="D174">
        <v>1725.54</v>
      </c>
      <c r="E174">
        <v>149388</v>
      </c>
      <c r="F174">
        <v>222534</v>
      </c>
    </row>
    <row r="175" spans="3:6">
      <c r="C175" s="3">
        <v>45707</v>
      </c>
      <c r="D175">
        <v>1755.26</v>
      </c>
      <c r="E175">
        <v>200384</v>
      </c>
      <c r="F175">
        <v>224519</v>
      </c>
    </row>
    <row r="176" spans="3:6">
      <c r="C176" s="3">
        <v>45706</v>
      </c>
      <c r="D176">
        <v>1794.24</v>
      </c>
      <c r="E176">
        <v>124443</v>
      </c>
      <c r="F176">
        <v>225435</v>
      </c>
    </row>
    <row r="177" spans="3:6">
      <c r="C177" s="3">
        <v>45702</v>
      </c>
      <c r="D177">
        <v>1799.19</v>
      </c>
      <c r="E177">
        <v>99662</v>
      </c>
      <c r="F177">
        <v>235516</v>
      </c>
    </row>
    <row r="178" spans="3:6">
      <c r="C178" s="3">
        <v>45701</v>
      </c>
      <c r="D178">
        <v>1802.79</v>
      </c>
      <c r="E178">
        <v>149614</v>
      </c>
      <c r="F178">
        <v>255591</v>
      </c>
    </row>
    <row r="179" spans="3:6">
      <c r="C179" s="3">
        <v>45700</v>
      </c>
      <c r="D179">
        <v>1767.41</v>
      </c>
      <c r="E179">
        <v>212289</v>
      </c>
      <c r="F179">
        <v>272661</v>
      </c>
    </row>
    <row r="180" spans="3:6">
      <c r="C180" s="3">
        <v>45699</v>
      </c>
      <c r="D180">
        <v>1797.17</v>
      </c>
      <c r="E180">
        <v>194653</v>
      </c>
      <c r="F180">
        <v>277385</v>
      </c>
    </row>
    <row r="181" spans="3:6">
      <c r="C181" s="3">
        <v>45698</v>
      </c>
      <c r="D181">
        <v>1857.35</v>
      </c>
      <c r="E181">
        <v>213752</v>
      </c>
      <c r="F181">
        <v>289832</v>
      </c>
    </row>
    <row r="182" spans="3:6">
      <c r="C182" s="3">
        <v>45695</v>
      </c>
      <c r="D182">
        <v>1858.86</v>
      </c>
      <c r="E182">
        <v>178965</v>
      </c>
      <c r="F182">
        <v>299749</v>
      </c>
    </row>
    <row r="183" spans="3:6">
      <c r="C183" s="3">
        <v>45694</v>
      </c>
      <c r="D183">
        <v>1887.3</v>
      </c>
      <c r="E183">
        <v>325323</v>
      </c>
      <c r="F183">
        <v>301007</v>
      </c>
    </row>
    <row r="184" spans="3:6">
      <c r="C184" s="3">
        <v>45693</v>
      </c>
      <c r="D184">
        <v>1847.8</v>
      </c>
      <c r="E184">
        <v>660365</v>
      </c>
      <c r="F184">
        <v>295196</v>
      </c>
    </row>
    <row r="185" spans="3:6">
      <c r="C185" s="3">
        <v>45692</v>
      </c>
      <c r="D185">
        <v>1809.7</v>
      </c>
      <c r="E185">
        <v>242379</v>
      </c>
      <c r="F185">
        <v>257803</v>
      </c>
    </row>
    <row r="186" spans="3:6">
      <c r="C186" s="3">
        <v>45691</v>
      </c>
      <c r="D186">
        <v>1827.96</v>
      </c>
      <c r="E186">
        <v>266919</v>
      </c>
      <c r="F186">
        <v>249683</v>
      </c>
    </row>
    <row r="187" spans="3:6">
      <c r="C187" s="3">
        <v>45688</v>
      </c>
      <c r="D187">
        <v>1873.56</v>
      </c>
      <c r="E187">
        <v>199166</v>
      </c>
      <c r="F187">
        <v>239322</v>
      </c>
    </row>
    <row r="188" spans="3:6">
      <c r="C188" s="3">
        <v>45687</v>
      </c>
      <c r="D188">
        <v>1866.42</v>
      </c>
      <c r="E188">
        <v>120706</v>
      </c>
      <c r="F188">
        <v>237078</v>
      </c>
    </row>
    <row r="189" spans="3:6">
      <c r="C189" s="3">
        <v>45686</v>
      </c>
      <c r="D189">
        <v>1860.21</v>
      </c>
      <c r="E189">
        <v>179159</v>
      </c>
      <c r="F189">
        <v>238357</v>
      </c>
    </row>
    <row r="190" spans="3:6">
      <c r="C190" s="3">
        <v>45685</v>
      </c>
      <c r="D190">
        <v>1851.1</v>
      </c>
      <c r="E190">
        <v>214126</v>
      </c>
      <c r="F190">
        <v>238841</v>
      </c>
    </row>
    <row r="191" spans="3:6">
      <c r="C191" s="3">
        <v>45684</v>
      </c>
      <c r="D191">
        <v>1842.64</v>
      </c>
      <c r="E191">
        <v>275659</v>
      </c>
      <c r="F191">
        <v>237712</v>
      </c>
    </row>
    <row r="192" spans="3:6">
      <c r="C192" s="3">
        <v>45681</v>
      </c>
      <c r="D192">
        <v>1814.85</v>
      </c>
      <c r="E192">
        <v>400791</v>
      </c>
      <c r="F192">
        <v>230010</v>
      </c>
    </row>
    <row r="193" spans="3:6">
      <c r="C193" s="3">
        <v>45680</v>
      </c>
      <c r="D193">
        <v>1854.6</v>
      </c>
      <c r="E193">
        <v>405658</v>
      </c>
      <c r="F193">
        <v>214519</v>
      </c>
    </row>
    <row r="194" spans="3:6">
      <c r="C194" s="3">
        <v>45679</v>
      </c>
      <c r="D194">
        <v>1880.32</v>
      </c>
      <c r="E194">
        <v>283160</v>
      </c>
      <c r="F194">
        <v>194486</v>
      </c>
    </row>
    <row r="195" spans="3:6">
      <c r="C195" s="3">
        <v>45678</v>
      </c>
      <c r="D195">
        <v>1894.19</v>
      </c>
      <c r="E195">
        <v>381345</v>
      </c>
      <c r="F195">
        <v>182519</v>
      </c>
    </row>
    <row r="196" spans="3:6">
      <c r="C196" s="3">
        <v>45674</v>
      </c>
      <c r="D196">
        <v>1900.54</v>
      </c>
      <c r="E196">
        <v>362520</v>
      </c>
      <c r="F196">
        <v>165706</v>
      </c>
    </row>
    <row r="197" spans="3:6">
      <c r="C197" s="3">
        <v>45673</v>
      </c>
      <c r="D197">
        <v>1969.68</v>
      </c>
      <c r="E197">
        <v>197826</v>
      </c>
      <c r="F197">
        <v>144164</v>
      </c>
    </row>
    <row r="198" spans="3:6">
      <c r="C198" s="3">
        <v>45672</v>
      </c>
      <c r="D198">
        <v>2030.47</v>
      </c>
      <c r="E198">
        <v>238165</v>
      </c>
      <c r="F198">
        <v>135765</v>
      </c>
    </row>
    <row r="199" spans="3:6">
      <c r="C199" s="3">
        <v>45671</v>
      </c>
      <c r="D199">
        <v>1949.53</v>
      </c>
      <c r="E199">
        <v>99473</v>
      </c>
      <c r="F199">
        <v>139799</v>
      </c>
    </row>
    <row r="200" spans="3:6">
      <c r="C200" s="3">
        <v>45670</v>
      </c>
      <c r="D200">
        <v>1911.98</v>
      </c>
      <c r="E200">
        <v>120578</v>
      </c>
      <c r="F200">
        <v>148035</v>
      </c>
    </row>
    <row r="201" spans="3:6">
      <c r="C201" s="3">
        <v>45667</v>
      </c>
      <c r="D201">
        <v>1917.63</v>
      </c>
      <c r="E201">
        <v>111501</v>
      </c>
      <c r="F201">
        <v>152849</v>
      </c>
    </row>
    <row r="202" spans="3:6">
      <c r="C202" s="3">
        <v>45665</v>
      </c>
      <c r="D202">
        <v>1964.42</v>
      </c>
      <c r="E202">
        <v>165506</v>
      </c>
      <c r="F202">
        <v>161012</v>
      </c>
    </row>
    <row r="203" spans="3:6">
      <c r="C203" s="3">
        <v>45664</v>
      </c>
      <c r="D203">
        <v>1935.16</v>
      </c>
      <c r="E203">
        <v>139882</v>
      </c>
      <c r="F203">
        <v>159835</v>
      </c>
    </row>
    <row r="204" spans="3:6">
      <c r="C204" s="3">
        <v>45663</v>
      </c>
      <c r="D204">
        <v>1968.01</v>
      </c>
      <c r="E204">
        <v>186427</v>
      </c>
      <c r="F204">
        <v>158535</v>
      </c>
    </row>
    <row r="205" spans="3:6">
      <c r="C205" s="3">
        <v>45660</v>
      </c>
      <c r="D205">
        <v>1966.26</v>
      </c>
      <c r="E205">
        <v>197182</v>
      </c>
      <c r="F205">
        <v>156611</v>
      </c>
    </row>
    <row r="206" spans="3:6">
      <c r="C206" s="3">
        <v>45659</v>
      </c>
      <c r="D206">
        <v>1995.92</v>
      </c>
      <c r="E206">
        <v>160140</v>
      </c>
      <c r="F206">
        <v>153927</v>
      </c>
    </row>
    <row r="207" spans="3:6">
      <c r="C207" s="3">
        <v>45657</v>
      </c>
      <c r="D207">
        <v>1990.93</v>
      </c>
      <c r="E207">
        <v>168427</v>
      </c>
      <c r="F207">
        <v>161306</v>
      </c>
    </row>
    <row r="208" spans="3:6">
      <c r="C208" s="3">
        <v>45656</v>
      </c>
      <c r="D208">
        <v>2013.65</v>
      </c>
      <c r="E208">
        <v>105162</v>
      </c>
      <c r="F208">
        <v>162679</v>
      </c>
    </row>
    <row r="209" spans="3:6">
      <c r="C209" s="3">
        <v>45653</v>
      </c>
      <c r="D209">
        <v>2037.33</v>
      </c>
      <c r="E209">
        <v>103656</v>
      </c>
      <c r="F209">
        <v>163004</v>
      </c>
    </row>
    <row r="210" spans="3:6">
      <c r="C210" s="3">
        <v>45652</v>
      </c>
      <c r="D210">
        <v>2062.71</v>
      </c>
      <c r="E210">
        <v>129146</v>
      </c>
      <c r="F210">
        <v>166293</v>
      </c>
    </row>
    <row r="211" spans="3:6">
      <c r="C211" s="3">
        <v>45650</v>
      </c>
      <c r="D211">
        <v>2104.9899999999998</v>
      </c>
      <c r="E211">
        <v>39385</v>
      </c>
      <c r="F211">
        <v>166237</v>
      </c>
    </row>
    <row r="212" spans="3:6">
      <c r="C212" s="3">
        <v>45649</v>
      </c>
      <c r="D212">
        <v>2080.4299999999998</v>
      </c>
      <c r="E212">
        <v>71846</v>
      </c>
      <c r="F212">
        <v>181652</v>
      </c>
    </row>
    <row r="213" spans="3:6">
      <c r="C213" s="3">
        <v>45646</v>
      </c>
      <c r="D213">
        <v>2090.98</v>
      </c>
      <c r="E213">
        <v>298672</v>
      </c>
      <c r="F213">
        <v>184826</v>
      </c>
    </row>
    <row r="214" spans="3:6">
      <c r="C214" s="3">
        <v>45645</v>
      </c>
      <c r="D214">
        <v>2044.89</v>
      </c>
      <c r="E214">
        <v>223017</v>
      </c>
      <c r="F214">
        <v>170299</v>
      </c>
    </row>
    <row r="215" spans="3:6">
      <c r="C215" s="3">
        <v>45644</v>
      </c>
      <c r="D215">
        <v>2051.1</v>
      </c>
      <c r="E215">
        <v>192783</v>
      </c>
      <c r="F215">
        <v>161704</v>
      </c>
    </row>
    <row r="216" spans="3:6">
      <c r="C216" s="3">
        <v>45643</v>
      </c>
      <c r="D216">
        <v>2138.1799999999998</v>
      </c>
      <c r="E216">
        <v>233956</v>
      </c>
      <c r="F216">
        <v>162360</v>
      </c>
    </row>
    <row r="217" spans="3:6">
      <c r="C217" s="3">
        <v>45642</v>
      </c>
      <c r="D217">
        <v>2170.4899999999998</v>
      </c>
      <c r="E217">
        <v>147850</v>
      </c>
      <c r="F217">
        <v>165664</v>
      </c>
    </row>
    <row r="218" spans="3:6">
      <c r="C218" s="3">
        <v>45639</v>
      </c>
      <c r="D218">
        <v>2168.89</v>
      </c>
      <c r="E218">
        <v>120376</v>
      </c>
      <c r="F218">
        <v>161820</v>
      </c>
    </row>
    <row r="219" spans="3:6">
      <c r="C219" s="3">
        <v>45638</v>
      </c>
      <c r="D219">
        <v>2190.92</v>
      </c>
      <c r="E219">
        <v>157565</v>
      </c>
      <c r="F219">
        <v>160142</v>
      </c>
    </row>
    <row r="220" spans="3:6">
      <c r="C220" s="3">
        <v>45637</v>
      </c>
      <c r="D220">
        <v>2196.0500000000002</v>
      </c>
      <c r="E220">
        <v>156924</v>
      </c>
      <c r="F220">
        <v>156450</v>
      </c>
    </row>
    <row r="221" spans="3:6">
      <c r="C221" s="3">
        <v>45636</v>
      </c>
      <c r="D221">
        <v>2172.69</v>
      </c>
      <c r="E221">
        <v>270819</v>
      </c>
      <c r="F221">
        <v>154674</v>
      </c>
    </row>
    <row r="222" spans="3:6">
      <c r="C222" s="3">
        <v>45635</v>
      </c>
      <c r="D222">
        <v>2227.11</v>
      </c>
      <c r="E222">
        <v>189029</v>
      </c>
      <c r="F222">
        <v>143158</v>
      </c>
    </row>
    <row r="223" spans="3:6">
      <c r="C223" s="3">
        <v>45632</v>
      </c>
      <c r="D223">
        <v>2371.83</v>
      </c>
      <c r="E223">
        <v>110041</v>
      </c>
      <c r="F223">
        <v>142934</v>
      </c>
    </row>
    <row r="224" spans="3:6">
      <c r="C224" s="3">
        <v>45631</v>
      </c>
      <c r="D224">
        <v>2367.16</v>
      </c>
      <c r="E224">
        <v>152986</v>
      </c>
      <c r="F224">
        <v>141126</v>
      </c>
    </row>
    <row r="225" spans="3:6">
      <c r="C225" s="3">
        <v>45630</v>
      </c>
      <c r="D225">
        <v>2375.83</v>
      </c>
      <c r="E225">
        <v>128303</v>
      </c>
      <c r="F225">
        <v>139933</v>
      </c>
    </row>
    <row r="226" spans="3:6">
      <c r="C226" s="3">
        <v>45629</v>
      </c>
      <c r="D226">
        <v>2345.3200000000002</v>
      </c>
      <c r="E226">
        <v>270618</v>
      </c>
      <c r="F226">
        <v>141259</v>
      </c>
    </row>
    <row r="227" spans="3:6">
      <c r="C227" s="3">
        <v>45628</v>
      </c>
      <c r="D227">
        <v>2332.11</v>
      </c>
      <c r="E227">
        <v>119453</v>
      </c>
      <c r="F227">
        <v>133392</v>
      </c>
    </row>
    <row r="228" spans="3:6">
      <c r="C228" s="3">
        <v>45625</v>
      </c>
      <c r="D228">
        <v>2375.0300000000002</v>
      </c>
      <c r="E228">
        <v>80765</v>
      </c>
      <c r="F228">
        <v>143828</v>
      </c>
    </row>
    <row r="229" spans="3:6">
      <c r="C229" s="3">
        <v>45623</v>
      </c>
      <c r="D229">
        <v>2354</v>
      </c>
      <c r="E229">
        <v>94091</v>
      </c>
      <c r="F229">
        <v>161393</v>
      </c>
    </row>
    <row r="230" spans="3:6">
      <c r="C230" s="3">
        <v>45622</v>
      </c>
      <c r="D230">
        <v>2382.4</v>
      </c>
      <c r="E230">
        <v>202624</v>
      </c>
      <c r="F230">
        <v>170726</v>
      </c>
    </row>
    <row r="231" spans="3:6">
      <c r="C231" s="3">
        <v>45621</v>
      </c>
      <c r="D231">
        <v>2360.2199999999998</v>
      </c>
      <c r="E231">
        <v>283516</v>
      </c>
      <c r="F231">
        <v>165513</v>
      </c>
    </row>
    <row r="232" spans="3:6">
      <c r="C232" s="3">
        <v>45618</v>
      </c>
      <c r="D232">
        <v>2355.35</v>
      </c>
      <c r="E232">
        <v>90183</v>
      </c>
      <c r="F232">
        <v>155912</v>
      </c>
    </row>
    <row r="233" spans="3:6">
      <c r="C233" s="3">
        <v>45617</v>
      </c>
      <c r="D233">
        <v>2337.83</v>
      </c>
      <c r="E233">
        <v>95208</v>
      </c>
      <c r="F233">
        <v>158457</v>
      </c>
    </row>
    <row r="234" spans="3:6">
      <c r="C234" s="3">
        <v>45616</v>
      </c>
      <c r="D234">
        <v>2309.6</v>
      </c>
      <c r="E234">
        <v>102183</v>
      </c>
      <c r="F234">
        <v>160323</v>
      </c>
    </row>
    <row r="235" spans="3:6">
      <c r="C235" s="3">
        <v>45615</v>
      </c>
      <c r="D235">
        <v>2284.4299999999998</v>
      </c>
      <c r="E235">
        <v>130295</v>
      </c>
      <c r="F235">
        <v>160236</v>
      </c>
    </row>
    <row r="236" spans="3:6">
      <c r="C236" s="3">
        <v>45614</v>
      </c>
      <c r="D236">
        <v>2272.31</v>
      </c>
      <c r="E236">
        <v>98078</v>
      </c>
      <c r="F236">
        <v>161617</v>
      </c>
    </row>
    <row r="237" spans="3:6">
      <c r="C237" s="3">
        <v>45611</v>
      </c>
      <c r="D237">
        <v>2261</v>
      </c>
      <c r="E237">
        <v>185667</v>
      </c>
      <c r="F237">
        <v>161799</v>
      </c>
    </row>
    <row r="238" spans="3:6">
      <c r="C238" s="3">
        <v>45610</v>
      </c>
      <c r="D238">
        <v>2323.17</v>
      </c>
      <c r="E238">
        <v>82927</v>
      </c>
      <c r="F238">
        <v>158741</v>
      </c>
    </row>
    <row r="239" spans="3:6">
      <c r="C239" s="3">
        <v>45609</v>
      </c>
      <c r="D239">
        <v>2348.4499999999998</v>
      </c>
      <c r="E239">
        <v>135091</v>
      </c>
      <c r="F239">
        <v>165908</v>
      </c>
    </row>
    <row r="240" spans="3:6">
      <c r="C240" s="3">
        <v>45608</v>
      </c>
      <c r="D240">
        <v>2348.1</v>
      </c>
      <c r="E240">
        <v>148186</v>
      </c>
      <c r="F240">
        <v>170260</v>
      </c>
    </row>
    <row r="241" spans="3:6">
      <c r="C241" s="3">
        <v>45607</v>
      </c>
      <c r="D241">
        <v>2350</v>
      </c>
      <c r="E241">
        <v>152620</v>
      </c>
      <c r="F241">
        <v>175055</v>
      </c>
    </row>
    <row r="242" spans="3:6">
      <c r="C242" s="3">
        <v>45604</v>
      </c>
      <c r="D242">
        <v>2332.29</v>
      </c>
      <c r="E242">
        <v>275985</v>
      </c>
      <c r="F242">
        <v>177273</v>
      </c>
    </row>
    <row r="243" spans="3:6">
      <c r="C243" s="3">
        <v>45603</v>
      </c>
      <c r="D243">
        <v>2176.1</v>
      </c>
      <c r="E243">
        <v>344242</v>
      </c>
      <c r="F243">
        <v>172629</v>
      </c>
    </row>
    <row r="244" spans="3:6">
      <c r="C244" s="3">
        <v>45602</v>
      </c>
      <c r="D244">
        <v>2090.63</v>
      </c>
      <c r="E244">
        <v>234084</v>
      </c>
      <c r="F244">
        <v>157392</v>
      </c>
    </row>
    <row r="245" spans="3:6">
      <c r="C245" s="3">
        <v>45601</v>
      </c>
      <c r="D245">
        <v>2009.75</v>
      </c>
      <c r="E245">
        <v>124435</v>
      </c>
      <c r="F245">
        <v>149689</v>
      </c>
    </row>
    <row r="246" spans="3:6">
      <c r="C246" s="3">
        <v>45600</v>
      </c>
      <c r="D246">
        <v>1990.94</v>
      </c>
      <c r="E246">
        <v>139503</v>
      </c>
      <c r="F246">
        <v>149594</v>
      </c>
    </row>
    <row r="247" spans="3:6">
      <c r="C247" s="3">
        <v>45597</v>
      </c>
      <c r="D247">
        <v>1988.91</v>
      </c>
      <c r="E247">
        <v>128344</v>
      </c>
      <c r="F247">
        <v>148187</v>
      </c>
    </row>
    <row r="248" spans="3:6">
      <c r="C248" s="3">
        <v>45596</v>
      </c>
      <c r="D248">
        <v>1993.11</v>
      </c>
      <c r="E248">
        <v>123204</v>
      </c>
      <c r="F248">
        <v>153208</v>
      </c>
    </row>
    <row r="249" spans="3:6">
      <c r="C249" s="3">
        <v>45595</v>
      </c>
      <c r="D249">
        <v>2006.99</v>
      </c>
      <c r="E249">
        <v>100884</v>
      </c>
      <c r="F249">
        <v>155883</v>
      </c>
    </row>
    <row r="250" spans="3:6">
      <c r="C250" s="3">
        <v>45594</v>
      </c>
      <c r="D250">
        <v>2021.86</v>
      </c>
      <c r="E250">
        <v>151002</v>
      </c>
      <c r="F250">
        <v>156818</v>
      </c>
    </row>
    <row r="251" spans="3:6">
      <c r="C251" s="3">
        <v>45593</v>
      </c>
      <c r="D251">
        <v>1996.88</v>
      </c>
      <c r="E251">
        <v>100817</v>
      </c>
      <c r="F251">
        <v>155588</v>
      </c>
    </row>
    <row r="252" spans="3:6">
      <c r="C252" s="3">
        <v>45590</v>
      </c>
      <c r="D252">
        <v>1999.97</v>
      </c>
      <c r="E252">
        <v>139798</v>
      </c>
      <c r="F252">
        <v>158120</v>
      </c>
    </row>
    <row r="253" spans="3:6">
      <c r="C253" s="3">
        <v>45589</v>
      </c>
      <c r="D253">
        <v>1994.05</v>
      </c>
      <c r="E253">
        <v>190426</v>
      </c>
      <c r="F253">
        <v>156903</v>
      </c>
    </row>
    <row r="254" spans="3:6">
      <c r="C254" s="3">
        <v>45588</v>
      </c>
      <c r="D254">
        <v>1998.66</v>
      </c>
      <c r="E254">
        <v>200369</v>
      </c>
      <c r="F254">
        <v>151509</v>
      </c>
    </row>
    <row r="255" spans="3:6">
      <c r="C255" s="3">
        <v>45587</v>
      </c>
      <c r="D255">
        <v>2027.82</v>
      </c>
      <c r="E255">
        <v>220111</v>
      </c>
      <c r="F255">
        <v>145244</v>
      </c>
    </row>
    <row r="256" spans="3:6">
      <c r="C256" s="3">
        <v>45586</v>
      </c>
      <c r="D256">
        <v>1994.45</v>
      </c>
      <c r="E256">
        <v>185898</v>
      </c>
      <c r="F256">
        <v>142872</v>
      </c>
    </row>
    <row r="257" spans="3:6">
      <c r="C257" s="3">
        <v>45583</v>
      </c>
      <c r="D257">
        <v>1973.46</v>
      </c>
      <c r="E257">
        <v>206313</v>
      </c>
      <c r="F257">
        <v>136584</v>
      </c>
    </row>
    <row r="258" spans="3:6">
      <c r="C258" s="3">
        <v>45582</v>
      </c>
      <c r="D258">
        <v>2038.95</v>
      </c>
      <c r="E258">
        <v>115696</v>
      </c>
      <c r="F258">
        <v>130001</v>
      </c>
    </row>
    <row r="259" spans="3:6">
      <c r="C259" s="3">
        <v>45581</v>
      </c>
      <c r="D259">
        <v>2051.7800000000002</v>
      </c>
      <c r="E259">
        <v>118537</v>
      </c>
      <c r="F259">
        <v>130047</v>
      </c>
    </row>
    <row r="260" spans="3:6">
      <c r="C260" s="3">
        <v>45580</v>
      </c>
      <c r="D260">
        <v>2061.0500000000002</v>
      </c>
      <c r="E260">
        <v>123006</v>
      </c>
      <c r="F260">
        <v>129363</v>
      </c>
    </row>
    <row r="261" spans="3:6">
      <c r="C261" s="3">
        <v>45579</v>
      </c>
      <c r="D261">
        <v>2068.91</v>
      </c>
      <c r="E261">
        <v>118394</v>
      </c>
      <c r="F261">
        <v>130081</v>
      </c>
    </row>
    <row r="262" spans="3:6">
      <c r="C262" s="3">
        <v>45576</v>
      </c>
      <c r="D262">
        <v>2031</v>
      </c>
      <c r="E262">
        <v>203669</v>
      </c>
      <c r="F262">
        <v>129598</v>
      </c>
    </row>
    <row r="263" spans="3:6">
      <c r="C263" s="3">
        <v>45575</v>
      </c>
      <c r="D263">
        <v>1984.52</v>
      </c>
      <c r="E263">
        <v>163326</v>
      </c>
      <c r="F263">
        <v>135674</v>
      </c>
    </row>
    <row r="264" spans="3:6">
      <c r="C264" s="3">
        <v>45574</v>
      </c>
      <c r="D264">
        <v>2024.99</v>
      </c>
      <c r="E264">
        <v>114914</v>
      </c>
      <c r="F264">
        <v>132939</v>
      </c>
    </row>
    <row r="265" spans="3:6">
      <c r="C265" s="3">
        <v>45573</v>
      </c>
      <c r="D265">
        <v>1989.58</v>
      </c>
      <c r="E265">
        <v>132539</v>
      </c>
      <c r="F265">
        <v>133875</v>
      </c>
    </row>
    <row r="266" spans="3:6">
      <c r="C266" s="3">
        <v>45572</v>
      </c>
      <c r="D266">
        <v>1955</v>
      </c>
      <c r="E266">
        <v>138808</v>
      </c>
      <c r="F266">
        <v>136420</v>
      </c>
    </row>
    <row r="267" spans="3:6">
      <c r="C267" s="3">
        <v>45569</v>
      </c>
      <c r="D267">
        <v>1913.38</v>
      </c>
      <c r="E267">
        <v>121533</v>
      </c>
      <c r="F267">
        <v>134481</v>
      </c>
    </row>
    <row r="268" spans="3:6">
      <c r="C268" s="3">
        <v>45568</v>
      </c>
      <c r="D268">
        <v>1935.95</v>
      </c>
      <c r="E268">
        <v>109521</v>
      </c>
      <c r="F268">
        <v>135210</v>
      </c>
    </row>
    <row r="269" spans="3:6">
      <c r="C269" s="3">
        <v>45567</v>
      </c>
      <c r="D269">
        <v>1938.16</v>
      </c>
      <c r="E269">
        <v>106400</v>
      </c>
      <c r="F269">
        <v>135298</v>
      </c>
    </row>
    <row r="270" spans="3:6">
      <c r="C270" s="3">
        <v>45566</v>
      </c>
      <c r="D270">
        <v>1915.69</v>
      </c>
      <c r="E270">
        <v>184525</v>
      </c>
      <c r="F270">
        <v>137127</v>
      </c>
    </row>
    <row r="271" spans="3:6">
      <c r="C271" s="3">
        <v>45565</v>
      </c>
      <c r="D271">
        <v>1943.52</v>
      </c>
      <c r="E271">
        <v>91574</v>
      </c>
      <c r="F271">
        <v>131514</v>
      </c>
    </row>
    <row r="272" spans="3:6">
      <c r="C272" s="3">
        <v>45562</v>
      </c>
      <c r="D272">
        <v>1919.65</v>
      </c>
      <c r="E272">
        <v>107576</v>
      </c>
      <c r="F272">
        <v>135033</v>
      </c>
    </row>
    <row r="273" spans="3:6">
      <c r="C273" s="3">
        <v>45561</v>
      </c>
      <c r="D273">
        <v>1923.81</v>
      </c>
      <c r="E273">
        <v>116383</v>
      </c>
      <c r="F273">
        <v>138280</v>
      </c>
    </row>
    <row r="274" spans="3:6">
      <c r="C274" s="3">
        <v>45560</v>
      </c>
      <c r="D274">
        <v>1909.85</v>
      </c>
      <c r="E274">
        <v>108280</v>
      </c>
      <c r="F274">
        <v>137115</v>
      </c>
    </row>
    <row r="275" spans="3:6">
      <c r="C275" s="3">
        <v>45559</v>
      </c>
      <c r="D275">
        <v>1916.9</v>
      </c>
      <c r="E275">
        <v>133770</v>
      </c>
      <c r="F275">
        <v>140475</v>
      </c>
    </row>
    <row r="276" spans="3:6">
      <c r="C276" s="3">
        <v>45558</v>
      </c>
      <c r="D276">
        <v>1947.38</v>
      </c>
      <c r="E276">
        <v>111150</v>
      </c>
      <c r="F276">
        <v>143764</v>
      </c>
    </row>
    <row r="277" spans="3:6">
      <c r="C277" s="3">
        <v>45555</v>
      </c>
      <c r="D277">
        <v>1934.63</v>
      </c>
      <c r="E277">
        <v>294808</v>
      </c>
      <c r="F277">
        <v>144323</v>
      </c>
    </row>
    <row r="278" spans="3:6">
      <c r="C278" s="3">
        <v>45554</v>
      </c>
      <c r="D278">
        <v>1929.21</v>
      </c>
      <c r="E278">
        <v>122298</v>
      </c>
      <c r="F278">
        <v>133089</v>
      </c>
    </row>
    <row r="279" spans="3:6">
      <c r="C279" s="3">
        <v>45553</v>
      </c>
      <c r="D279">
        <v>1900.33</v>
      </c>
      <c r="E279">
        <v>128965</v>
      </c>
      <c r="F279">
        <v>131961</v>
      </c>
    </row>
    <row r="280" spans="3:6">
      <c r="C280" s="3">
        <v>45552</v>
      </c>
      <c r="D280">
        <v>1884.45</v>
      </c>
      <c r="E280">
        <v>170704</v>
      </c>
      <c r="F280">
        <v>136765</v>
      </c>
    </row>
    <row r="281" spans="3:6">
      <c r="C281" s="3">
        <v>45551</v>
      </c>
      <c r="D281">
        <v>1894.98</v>
      </c>
      <c r="E281">
        <v>109724</v>
      </c>
      <c r="F281">
        <v>137986</v>
      </c>
    </row>
    <row r="282" spans="3:6">
      <c r="C282" s="3">
        <v>45548</v>
      </c>
      <c r="D282">
        <v>1868.96</v>
      </c>
      <c r="E282">
        <v>132468</v>
      </c>
      <c r="F282">
        <v>135531</v>
      </c>
    </row>
    <row r="283" spans="3:6">
      <c r="C283" s="3">
        <v>45547</v>
      </c>
      <c r="D283">
        <v>1862.08</v>
      </c>
      <c r="E283">
        <v>110850</v>
      </c>
      <c r="F283">
        <v>132091</v>
      </c>
    </row>
    <row r="284" spans="3:6">
      <c r="C284" s="3">
        <v>45546</v>
      </c>
      <c r="D284">
        <v>1834.23</v>
      </c>
      <c r="E284">
        <v>133833</v>
      </c>
      <c r="F284">
        <v>131175</v>
      </c>
    </row>
    <row r="285" spans="3:6">
      <c r="C285" s="3">
        <v>45545</v>
      </c>
      <c r="D285">
        <v>1797.28</v>
      </c>
      <c r="E285">
        <v>100323</v>
      </c>
      <c r="F285">
        <v>132123</v>
      </c>
    </row>
    <row r="286" spans="3:6">
      <c r="C286" s="3">
        <v>45544</v>
      </c>
      <c r="D286">
        <v>1776.49</v>
      </c>
      <c r="E286">
        <v>144360</v>
      </c>
      <c r="F286">
        <v>134638</v>
      </c>
    </row>
    <row r="287" spans="3:6">
      <c r="C287" s="3">
        <v>45541</v>
      </c>
      <c r="D287">
        <v>1734.01</v>
      </c>
      <c r="E287">
        <v>156278</v>
      </c>
      <c r="F287">
        <v>135213</v>
      </c>
    </row>
    <row r="288" spans="3:6">
      <c r="C288" s="3">
        <v>45540</v>
      </c>
      <c r="D288">
        <v>1757.14</v>
      </c>
      <c r="E288">
        <v>98920</v>
      </c>
      <c r="F288">
        <v>144247</v>
      </c>
    </row>
    <row r="289" spans="3:6">
      <c r="C289" s="3">
        <v>45539</v>
      </c>
      <c r="D289">
        <v>1751.25</v>
      </c>
      <c r="E289">
        <v>158668</v>
      </c>
      <c r="F289">
        <v>147632</v>
      </c>
    </row>
    <row r="290" spans="3:6">
      <c r="C290" s="3">
        <v>45538</v>
      </c>
      <c r="D290">
        <v>1688.41</v>
      </c>
      <c r="E290">
        <v>183117</v>
      </c>
      <c r="F290">
        <v>145022</v>
      </c>
    </row>
    <row r="291" spans="3:6">
      <c r="C291" s="3">
        <v>45534</v>
      </c>
      <c r="D291">
        <v>1730.27</v>
      </c>
      <c r="E291">
        <v>119526</v>
      </c>
      <c r="F291">
        <v>142412</v>
      </c>
    </row>
    <row r="292" spans="3:6">
      <c r="C292" s="3">
        <v>45533</v>
      </c>
      <c r="D292">
        <v>1713.29</v>
      </c>
      <c r="E292">
        <v>126297</v>
      </c>
      <c r="F292">
        <v>148839</v>
      </c>
    </row>
    <row r="293" spans="3:6">
      <c r="C293" s="3">
        <v>45532</v>
      </c>
      <c r="D293">
        <v>1722.35</v>
      </c>
      <c r="E293">
        <v>105387</v>
      </c>
      <c r="F293">
        <v>149441</v>
      </c>
    </row>
    <row r="294" spans="3:6">
      <c r="C294" s="3">
        <v>45531</v>
      </c>
      <c r="D294">
        <v>1714.9</v>
      </c>
      <c r="E294">
        <v>201018</v>
      </c>
      <c r="F294">
        <v>155189</v>
      </c>
    </row>
    <row r="295" spans="3:6">
      <c r="C295" s="3">
        <v>45530</v>
      </c>
      <c r="D295">
        <v>1706.27</v>
      </c>
      <c r="E295">
        <v>189024</v>
      </c>
      <c r="F295">
        <v>160867</v>
      </c>
    </row>
    <row r="296" spans="3:6">
      <c r="C296" s="3">
        <v>45527</v>
      </c>
      <c r="D296">
        <v>1745.38</v>
      </c>
      <c r="E296">
        <v>72889</v>
      </c>
      <c r="F296">
        <v>157362</v>
      </c>
    </row>
    <row r="297" spans="3:6">
      <c r="C297" s="3">
        <v>45526</v>
      </c>
      <c r="D297">
        <v>1737.16</v>
      </c>
      <c r="E297">
        <v>80881</v>
      </c>
      <c r="F297">
        <v>162151</v>
      </c>
    </row>
    <row r="298" spans="3:6">
      <c r="C298" s="3">
        <v>45525</v>
      </c>
      <c r="D298">
        <v>1751.6</v>
      </c>
      <c r="E298">
        <v>97101</v>
      </c>
      <c r="F298">
        <v>174209</v>
      </c>
    </row>
    <row r="299" spans="3:6">
      <c r="C299" s="3">
        <v>45524</v>
      </c>
      <c r="D299">
        <v>1750</v>
      </c>
      <c r="E299">
        <v>148059</v>
      </c>
      <c r="F299">
        <v>184621</v>
      </c>
    </row>
    <row r="300" spans="3:6">
      <c r="C300" s="3">
        <v>45523</v>
      </c>
      <c r="D300">
        <v>1753.7</v>
      </c>
      <c r="E300">
        <v>138046</v>
      </c>
      <c r="F300">
        <v>186796</v>
      </c>
    </row>
    <row r="301" spans="3:6">
      <c r="C301" s="3">
        <v>45520</v>
      </c>
      <c r="D301">
        <v>1751.7</v>
      </c>
      <c r="E301">
        <v>152977</v>
      </c>
      <c r="F301">
        <v>191007</v>
      </c>
    </row>
    <row r="302" spans="3:6">
      <c r="C302" s="3">
        <v>45519</v>
      </c>
      <c r="D302">
        <v>1733.79</v>
      </c>
      <c r="E302">
        <v>291801</v>
      </c>
      <c r="F302">
        <v>189588</v>
      </c>
    </row>
    <row r="303" spans="3:6">
      <c r="C303" s="3">
        <v>45518</v>
      </c>
      <c r="D303">
        <v>1809.75</v>
      </c>
      <c r="E303">
        <v>149693</v>
      </c>
      <c r="F303">
        <v>177589</v>
      </c>
    </row>
    <row r="304" spans="3:6">
      <c r="C304" s="3">
        <v>45517</v>
      </c>
      <c r="D304">
        <v>1774.66</v>
      </c>
      <c r="E304">
        <v>119518</v>
      </c>
      <c r="F304">
        <v>178262</v>
      </c>
    </row>
    <row r="305" spans="3:6">
      <c r="C305" s="3">
        <v>45516</v>
      </c>
      <c r="D305">
        <v>1720</v>
      </c>
      <c r="E305">
        <v>143959</v>
      </c>
      <c r="F305">
        <v>180934</v>
      </c>
    </row>
    <row r="306" spans="3:6">
      <c r="C306" s="3">
        <v>45513</v>
      </c>
      <c r="D306">
        <v>1752.25</v>
      </c>
      <c r="E306">
        <v>215928</v>
      </c>
      <c r="F306">
        <v>181716</v>
      </c>
    </row>
    <row r="307" spans="3:6">
      <c r="C307" s="3">
        <v>45512</v>
      </c>
      <c r="D307">
        <v>1717.12</v>
      </c>
      <c r="E307">
        <v>135333</v>
      </c>
      <c r="F307">
        <v>180074</v>
      </c>
    </row>
    <row r="308" spans="3:6">
      <c r="C308" s="3">
        <v>45511</v>
      </c>
      <c r="D308">
        <v>1668.63</v>
      </c>
      <c r="E308">
        <v>191606</v>
      </c>
      <c r="F308">
        <v>181211</v>
      </c>
    </row>
    <row r="309" spans="3:6">
      <c r="C309" s="3">
        <v>45510</v>
      </c>
      <c r="D309">
        <v>1654.99</v>
      </c>
      <c r="E309">
        <v>286187</v>
      </c>
      <c r="F309">
        <v>181847</v>
      </c>
    </row>
    <row r="310" spans="3:6">
      <c r="C310" s="3">
        <v>45509</v>
      </c>
      <c r="D310">
        <v>1581.82</v>
      </c>
      <c r="E310">
        <v>136453</v>
      </c>
      <c r="F310">
        <v>170032</v>
      </c>
    </row>
    <row r="311" spans="3:6">
      <c r="C311" s="3">
        <v>45506</v>
      </c>
      <c r="D311">
        <v>1600.38</v>
      </c>
      <c r="E311">
        <v>144730</v>
      </c>
      <c r="F311">
        <v>173421</v>
      </c>
    </row>
    <row r="312" spans="3:6">
      <c r="C312" s="3">
        <v>45505</v>
      </c>
      <c r="D312">
        <v>1578.95</v>
      </c>
      <c r="E312">
        <v>261745</v>
      </c>
      <c r="F312">
        <v>171757</v>
      </c>
    </row>
    <row r="313" spans="3:6">
      <c r="C313" s="3">
        <v>45504</v>
      </c>
      <c r="D313">
        <v>1600</v>
      </c>
      <c r="E313">
        <v>253283</v>
      </c>
      <c r="F313">
        <v>164053</v>
      </c>
    </row>
    <row r="314" spans="3:6">
      <c r="C314" s="3">
        <v>45503</v>
      </c>
      <c r="D314">
        <v>1588.5</v>
      </c>
      <c r="E314">
        <v>180675</v>
      </c>
      <c r="F314">
        <v>160380</v>
      </c>
    </row>
    <row r="315" spans="3:6">
      <c r="C315" s="3">
        <v>45502</v>
      </c>
      <c r="D315">
        <v>1588.72</v>
      </c>
      <c r="E315">
        <v>201210</v>
      </c>
      <c r="F315">
        <v>169487</v>
      </c>
    </row>
    <row r="316" spans="3:6">
      <c r="C316" s="3">
        <v>45499</v>
      </c>
      <c r="D316">
        <v>1605.94</v>
      </c>
      <c r="E316">
        <v>131700</v>
      </c>
      <c r="F316">
        <v>166853</v>
      </c>
    </row>
    <row r="317" spans="3:6">
      <c r="C317" s="3">
        <v>45498</v>
      </c>
      <c r="D317">
        <v>1576.93</v>
      </c>
      <c r="E317">
        <v>111811</v>
      </c>
      <c r="F317">
        <v>165307</v>
      </c>
    </row>
    <row r="318" spans="3:6">
      <c r="C318" s="3">
        <v>45497</v>
      </c>
      <c r="D318">
        <v>1559.24</v>
      </c>
      <c r="E318">
        <v>159787</v>
      </c>
      <c r="F318">
        <v>162641</v>
      </c>
    </row>
    <row r="319" spans="3:6">
      <c r="C319" s="3">
        <v>45496</v>
      </c>
      <c r="D319">
        <v>1628.12</v>
      </c>
      <c r="E319">
        <v>159604</v>
      </c>
      <c r="F319">
        <v>171479</v>
      </c>
    </row>
    <row r="320" spans="3:6">
      <c r="C320" s="3">
        <v>45495</v>
      </c>
      <c r="D320">
        <v>1632.17</v>
      </c>
      <c r="E320">
        <v>155691</v>
      </c>
      <c r="F320">
        <v>170413</v>
      </c>
    </row>
    <row r="321" spans="3:6">
      <c r="C321" s="3">
        <v>45492</v>
      </c>
      <c r="D321">
        <v>1590.79</v>
      </c>
      <c r="E321">
        <v>191294</v>
      </c>
      <c r="F321">
        <v>182717</v>
      </c>
    </row>
    <row r="322" spans="3:6">
      <c r="C322" s="3">
        <v>45491</v>
      </c>
      <c r="D322">
        <v>1584.76</v>
      </c>
      <c r="E322">
        <v>152389</v>
      </c>
      <c r="F322">
        <v>179991</v>
      </c>
    </row>
    <row r="323" spans="3:6">
      <c r="C323" s="3">
        <v>45490</v>
      </c>
      <c r="D323">
        <v>1602.8</v>
      </c>
      <c r="E323">
        <v>201149</v>
      </c>
      <c r="F323">
        <v>181654</v>
      </c>
    </row>
    <row r="324" spans="3:6">
      <c r="C324" s="3">
        <v>45489</v>
      </c>
      <c r="D324">
        <v>1614.77</v>
      </c>
      <c r="E324">
        <v>108966</v>
      </c>
      <c r="F324">
        <v>180467</v>
      </c>
    </row>
    <row r="325" spans="3:6">
      <c r="C325" s="3">
        <v>45488</v>
      </c>
      <c r="D325">
        <v>1590.03</v>
      </c>
      <c r="E325">
        <v>187283</v>
      </c>
      <c r="F325">
        <v>190082</v>
      </c>
    </row>
    <row r="326" spans="3:6">
      <c r="C326" s="3">
        <v>45485</v>
      </c>
      <c r="D326">
        <v>1588.52</v>
      </c>
      <c r="E326">
        <v>119771</v>
      </c>
      <c r="F326">
        <v>193282</v>
      </c>
    </row>
    <row r="327" spans="3:6">
      <c r="C327" s="3">
        <v>45484</v>
      </c>
      <c r="D327">
        <v>1567.52</v>
      </c>
      <c r="E327">
        <v>146175</v>
      </c>
      <c r="F327">
        <v>194520</v>
      </c>
    </row>
    <row r="328" spans="3:6">
      <c r="C328" s="3">
        <v>45483</v>
      </c>
      <c r="D328">
        <v>1534.09</v>
      </c>
      <c r="E328">
        <v>198192</v>
      </c>
      <c r="F328">
        <v>199069</v>
      </c>
    </row>
    <row r="329" spans="3:6">
      <c r="C329" s="3">
        <v>45482</v>
      </c>
      <c r="D329">
        <v>1568.06</v>
      </c>
      <c r="E329">
        <v>317284</v>
      </c>
      <c r="F329">
        <v>193797</v>
      </c>
    </row>
    <row r="330" spans="3:6">
      <c r="C330" s="3">
        <v>45481</v>
      </c>
      <c r="D330">
        <v>1530.06</v>
      </c>
      <c r="E330">
        <v>161706</v>
      </c>
      <c r="F330">
        <v>180093</v>
      </c>
    </row>
    <row r="331" spans="3:6">
      <c r="C331" s="3">
        <v>45478</v>
      </c>
      <c r="D331">
        <v>1551.55</v>
      </c>
      <c r="E331">
        <v>108505</v>
      </c>
      <c r="F331">
        <v>175622</v>
      </c>
    </row>
    <row r="332" spans="3:6">
      <c r="C332" s="3">
        <v>45476</v>
      </c>
      <c r="D332">
        <v>1530.06</v>
      </c>
      <c r="E332">
        <v>71820</v>
      </c>
      <c r="F332">
        <v>180636</v>
      </c>
    </row>
    <row r="333" spans="3:6">
      <c r="C333" s="3">
        <v>45475</v>
      </c>
      <c r="D333">
        <v>1529.38</v>
      </c>
      <c r="E333">
        <v>292357</v>
      </c>
      <c r="F333">
        <v>180988</v>
      </c>
    </row>
    <row r="334" spans="3:6">
      <c r="C334" s="3">
        <v>45474</v>
      </c>
      <c r="D334">
        <v>1496.51</v>
      </c>
      <c r="E334">
        <v>143609</v>
      </c>
      <c r="F334">
        <v>169893</v>
      </c>
    </row>
    <row r="335" spans="3:6">
      <c r="C335" s="3">
        <v>45471</v>
      </c>
      <c r="D335">
        <v>1488.66</v>
      </c>
      <c r="E335">
        <v>340261</v>
      </c>
      <c r="F335">
        <v>167025</v>
      </c>
    </row>
    <row r="336" spans="3:6">
      <c r="C336" s="3">
        <v>45470</v>
      </c>
      <c r="D336">
        <v>1477.51</v>
      </c>
      <c r="E336">
        <v>150393</v>
      </c>
      <c r="F336">
        <v>152315</v>
      </c>
    </row>
    <row r="337" spans="3:6">
      <c r="C337" s="3">
        <v>45469</v>
      </c>
      <c r="D337">
        <v>1470</v>
      </c>
      <c r="E337">
        <v>177334</v>
      </c>
      <c r="F337">
        <v>149442</v>
      </c>
    </row>
    <row r="338" spans="3:6">
      <c r="C338" s="3">
        <v>45468</v>
      </c>
      <c r="D338">
        <v>1457.29</v>
      </c>
      <c r="E338">
        <v>183354</v>
      </c>
      <c r="F338">
        <v>144214</v>
      </c>
    </row>
    <row r="339" spans="3:6">
      <c r="C339" s="3">
        <v>45467</v>
      </c>
      <c r="D339">
        <v>1441.5</v>
      </c>
      <c r="E339">
        <v>253181</v>
      </c>
      <c r="F339">
        <v>141592</v>
      </c>
    </row>
    <row r="340" spans="3:6">
      <c r="C340" s="3">
        <v>45464</v>
      </c>
      <c r="D340">
        <v>1436.11</v>
      </c>
      <c r="E340">
        <v>235291</v>
      </c>
      <c r="F340">
        <v>146901</v>
      </c>
    </row>
    <row r="341" spans="3:6">
      <c r="C341" s="3">
        <v>45463</v>
      </c>
      <c r="D341">
        <v>1412.76</v>
      </c>
      <c r="E341">
        <v>138331</v>
      </c>
      <c r="F341">
        <v>144335</v>
      </c>
    </row>
    <row r="342" spans="3:6">
      <c r="C342" s="3">
        <v>45461</v>
      </c>
      <c r="D342">
        <v>1421.8</v>
      </c>
      <c r="E342">
        <v>214418</v>
      </c>
      <c r="F342">
        <v>143877</v>
      </c>
    </row>
    <row r="343" spans="3:6">
      <c r="C343" s="3">
        <v>45460</v>
      </c>
      <c r="D343">
        <v>1409.96</v>
      </c>
      <c r="E343">
        <v>119114</v>
      </c>
      <c r="F343">
        <v>142151</v>
      </c>
    </row>
    <row r="344" spans="3:6">
      <c r="C344" s="3">
        <v>45457</v>
      </c>
      <c r="D344">
        <v>1390.59</v>
      </c>
      <c r="E344">
        <v>111715</v>
      </c>
      <c r="F344">
        <v>145643</v>
      </c>
    </row>
    <row r="345" spans="3:6">
      <c r="C345" s="3">
        <v>45456</v>
      </c>
      <c r="D345">
        <v>1379.01</v>
      </c>
      <c r="E345">
        <v>94654</v>
      </c>
      <c r="F345">
        <v>154000</v>
      </c>
    </row>
    <row r="346" spans="3:6">
      <c r="C346" s="3">
        <v>45455</v>
      </c>
      <c r="D346">
        <v>1378.36</v>
      </c>
      <c r="E346">
        <v>183707</v>
      </c>
      <c r="F346">
        <v>160552</v>
      </c>
    </row>
    <row r="347" spans="3:6">
      <c r="C347" s="3">
        <v>45454</v>
      </c>
      <c r="D347">
        <v>1315.33</v>
      </c>
      <c r="E347">
        <v>77100</v>
      </c>
      <c r="F347">
        <v>172877</v>
      </c>
    </row>
    <row r="348" spans="3:6">
      <c r="C348" s="3">
        <v>45453</v>
      </c>
      <c r="D348">
        <v>1310.1500000000001</v>
      </c>
      <c r="E348">
        <v>125934</v>
      </c>
      <c r="F348">
        <v>185033</v>
      </c>
    </row>
    <row r="349" spans="3:6">
      <c r="C349" s="3">
        <v>45450</v>
      </c>
      <c r="D349">
        <v>1310.32</v>
      </c>
      <c r="E349">
        <v>100584</v>
      </c>
      <c r="F349">
        <v>193080</v>
      </c>
    </row>
    <row r="350" spans="3:6">
      <c r="C350" s="3">
        <v>45449</v>
      </c>
      <c r="D350">
        <v>1329.88</v>
      </c>
      <c r="E350">
        <v>119619</v>
      </c>
      <c r="F350">
        <v>210171</v>
      </c>
    </row>
    <row r="351" spans="3:6">
      <c r="C351" s="3">
        <v>45448</v>
      </c>
      <c r="D351">
        <v>1351.07</v>
      </c>
      <c r="E351">
        <v>107297</v>
      </c>
      <c r="F351">
        <v>219546</v>
      </c>
    </row>
    <row r="352" spans="3:6">
      <c r="C352" s="3">
        <v>45447</v>
      </c>
      <c r="D352">
        <v>1302.74</v>
      </c>
      <c r="E352">
        <v>98913</v>
      </c>
      <c r="F352">
        <v>226273</v>
      </c>
    </row>
    <row r="353" spans="3:6">
      <c r="C353" s="3">
        <v>45446</v>
      </c>
      <c r="D353">
        <v>1293.82</v>
      </c>
      <c r="E353">
        <v>144015</v>
      </c>
      <c r="F353">
        <v>235987</v>
      </c>
    </row>
    <row r="354" spans="3:6">
      <c r="C354" s="3">
        <v>45443</v>
      </c>
      <c r="D354">
        <v>1289.93</v>
      </c>
      <c r="E354">
        <v>332819</v>
      </c>
      <c r="F354">
        <v>255494</v>
      </c>
    </row>
    <row r="355" spans="3:6">
      <c r="C355" s="3">
        <v>45442</v>
      </c>
      <c r="D355">
        <v>1302.6600000000001</v>
      </c>
      <c r="E355">
        <v>196804</v>
      </c>
      <c r="F355">
        <v>246698</v>
      </c>
    </row>
    <row r="356" spans="3:6">
      <c r="C356" s="3">
        <v>45441</v>
      </c>
      <c r="D356">
        <v>1356.3</v>
      </c>
      <c r="E356">
        <v>131455</v>
      </c>
      <c r="F356">
        <v>242434</v>
      </c>
    </row>
    <row r="357" spans="3:6">
      <c r="C357" s="3">
        <v>45440</v>
      </c>
      <c r="D357">
        <v>1385.13</v>
      </c>
      <c r="E357">
        <v>188540</v>
      </c>
      <c r="F357">
        <v>244574</v>
      </c>
    </row>
    <row r="358" spans="3:6">
      <c r="C358" s="3">
        <v>45436</v>
      </c>
      <c r="D358">
        <v>1384.64</v>
      </c>
      <c r="E358">
        <v>171482</v>
      </c>
      <c r="F358">
        <v>245852</v>
      </c>
    </row>
    <row r="359" spans="3:6">
      <c r="C359" s="3">
        <v>45435</v>
      </c>
      <c r="D359">
        <v>1353.18</v>
      </c>
      <c r="E359">
        <v>237070</v>
      </c>
      <c r="F359">
        <v>246614</v>
      </c>
    </row>
    <row r="360" spans="3:6">
      <c r="C360" s="3">
        <v>45434</v>
      </c>
      <c r="D360">
        <v>1366.64</v>
      </c>
      <c r="E360">
        <v>192942</v>
      </c>
      <c r="F360">
        <v>241886</v>
      </c>
    </row>
    <row r="361" spans="3:6">
      <c r="C361" s="3">
        <v>45433</v>
      </c>
      <c r="D361">
        <v>1374.8</v>
      </c>
      <c r="E361">
        <v>368583</v>
      </c>
      <c r="F361">
        <v>245346</v>
      </c>
    </row>
    <row r="362" spans="3:6">
      <c r="C362" s="3">
        <v>45432</v>
      </c>
      <c r="D362">
        <v>1446.28</v>
      </c>
      <c r="E362">
        <v>259431</v>
      </c>
      <c r="F362">
        <v>234816</v>
      </c>
    </row>
    <row r="363" spans="3:6">
      <c r="C363" s="3">
        <v>45429</v>
      </c>
      <c r="D363">
        <v>1411.35</v>
      </c>
      <c r="E363">
        <v>246644</v>
      </c>
      <c r="F363">
        <v>239066</v>
      </c>
    </row>
    <row r="364" spans="3:6">
      <c r="C364" s="3">
        <v>45428</v>
      </c>
      <c r="D364">
        <v>1404.43</v>
      </c>
      <c r="E364">
        <v>356944</v>
      </c>
      <c r="F364">
        <v>252002</v>
      </c>
    </row>
    <row r="365" spans="3:6">
      <c r="C365" s="3">
        <v>45427</v>
      </c>
      <c r="D365">
        <v>1368.16</v>
      </c>
      <c r="E365">
        <v>260249</v>
      </c>
      <c r="F365">
        <v>242803</v>
      </c>
    </row>
    <row r="366" spans="3:6">
      <c r="C366" s="3">
        <v>45426</v>
      </c>
      <c r="D366">
        <v>1353.93</v>
      </c>
      <c r="E366">
        <v>208211</v>
      </c>
      <c r="F366">
        <v>237316</v>
      </c>
    </row>
    <row r="367" spans="3:6">
      <c r="C367" s="3">
        <v>45425</v>
      </c>
      <c r="D367">
        <v>1332.53</v>
      </c>
      <c r="E367">
        <v>244621</v>
      </c>
      <c r="F367">
        <v>241787</v>
      </c>
    </row>
    <row r="368" spans="3:6">
      <c r="C368" s="3">
        <v>45422</v>
      </c>
      <c r="D368">
        <v>1328.61</v>
      </c>
      <c r="E368">
        <v>436617</v>
      </c>
      <c r="F368">
        <v>241045</v>
      </c>
    </row>
    <row r="369" spans="3:6">
      <c r="C369" s="3">
        <v>45421</v>
      </c>
      <c r="D369">
        <v>1286.78</v>
      </c>
      <c r="E369">
        <v>200875</v>
      </c>
      <c r="F369">
        <v>222367</v>
      </c>
    </row>
    <row r="370" spans="3:6">
      <c r="C370" s="3">
        <v>45420</v>
      </c>
      <c r="D370">
        <v>1251.44</v>
      </c>
      <c r="E370">
        <v>132847</v>
      </c>
      <c r="F370">
        <v>223290</v>
      </c>
    </row>
    <row r="371" spans="3:6">
      <c r="C371" s="3">
        <v>45419</v>
      </c>
      <c r="D371">
        <v>1240.6199999999999</v>
      </c>
      <c r="E371">
        <v>163561</v>
      </c>
      <c r="F371">
        <v>226155</v>
      </c>
    </row>
    <row r="372" spans="3:6">
      <c r="C372" s="3">
        <v>45418</v>
      </c>
      <c r="D372">
        <v>1242.6300000000001</v>
      </c>
      <c r="E372">
        <v>207706</v>
      </c>
      <c r="F372">
        <v>226133</v>
      </c>
    </row>
    <row r="373" spans="3:6">
      <c r="C373" s="3">
        <v>45415</v>
      </c>
      <c r="D373">
        <v>1193.01</v>
      </c>
      <c r="E373">
        <v>182907</v>
      </c>
      <c r="F373">
        <v>224462</v>
      </c>
    </row>
    <row r="374" spans="3:6">
      <c r="C374" s="3">
        <v>45414</v>
      </c>
      <c r="D374">
        <v>1165.3499999999999</v>
      </c>
      <c r="E374">
        <v>166156</v>
      </c>
      <c r="F374">
        <v>220148</v>
      </c>
    </row>
    <row r="375" spans="3:6">
      <c r="C375" s="3">
        <v>45413</v>
      </c>
      <c r="D375">
        <v>1140.73</v>
      </c>
      <c r="E375">
        <v>244833</v>
      </c>
      <c r="F375">
        <v>216286</v>
      </c>
    </row>
    <row r="376" spans="3:6">
      <c r="C376" s="3">
        <v>45412</v>
      </c>
      <c r="D376">
        <v>1133.33</v>
      </c>
      <c r="E376">
        <v>210640</v>
      </c>
      <c r="F376">
        <v>211902</v>
      </c>
    </row>
    <row r="377" spans="3:6">
      <c r="C377" s="3">
        <v>45411</v>
      </c>
      <c r="D377">
        <v>1143.06</v>
      </c>
      <c r="E377">
        <v>323172</v>
      </c>
      <c r="F377">
        <v>205553</v>
      </c>
    </row>
    <row r="378" spans="3:6">
      <c r="C378" s="3">
        <v>45408</v>
      </c>
      <c r="D378">
        <v>1110.8499999999999</v>
      </c>
      <c r="E378">
        <v>440692</v>
      </c>
      <c r="F378">
        <v>190434</v>
      </c>
    </row>
    <row r="379" spans="3:6">
      <c r="C379" s="3">
        <v>45407</v>
      </c>
      <c r="D379">
        <v>1193.6600000000001</v>
      </c>
      <c r="E379">
        <v>218965</v>
      </c>
      <c r="F379">
        <v>166408</v>
      </c>
    </row>
    <row r="380" spans="3:6">
      <c r="C380" s="3">
        <v>45406</v>
      </c>
      <c r="D380">
        <v>1193.03</v>
      </c>
      <c r="E380">
        <v>177940</v>
      </c>
      <c r="F380">
        <v>159418</v>
      </c>
    </row>
    <row r="381" spans="3:6">
      <c r="C381" s="3">
        <v>45405</v>
      </c>
      <c r="D381">
        <v>1188.19</v>
      </c>
      <c r="E381">
        <v>275267</v>
      </c>
      <c r="F381">
        <v>154340</v>
      </c>
    </row>
    <row r="382" spans="3:6">
      <c r="C382" s="3">
        <v>45404</v>
      </c>
      <c r="D382">
        <v>1150.6600000000001</v>
      </c>
      <c r="E382">
        <v>233504</v>
      </c>
      <c r="F382">
        <v>145439</v>
      </c>
    </row>
    <row r="383" spans="3:6">
      <c r="C383" s="3">
        <v>45401</v>
      </c>
      <c r="D383">
        <v>1130.06</v>
      </c>
      <c r="E383">
        <v>156442</v>
      </c>
      <c r="F383">
        <v>137946</v>
      </c>
    </row>
    <row r="384" spans="3:6">
      <c r="C384" s="3">
        <v>45400</v>
      </c>
      <c r="D384">
        <v>1162.25</v>
      </c>
      <c r="E384">
        <v>214712</v>
      </c>
      <c r="F384">
        <v>137630</v>
      </c>
    </row>
    <row r="385" spans="3:6">
      <c r="C385" s="3">
        <v>45399</v>
      </c>
      <c r="D385">
        <v>1153.28</v>
      </c>
      <c r="E385">
        <v>175830</v>
      </c>
      <c r="F385">
        <v>132962</v>
      </c>
    </row>
    <row r="386" spans="3:6">
      <c r="C386" s="3">
        <v>45398</v>
      </c>
      <c r="D386">
        <v>1152.7</v>
      </c>
      <c r="E386">
        <v>163230</v>
      </c>
      <c r="F386">
        <v>130378</v>
      </c>
    </row>
    <row r="387" spans="3:6">
      <c r="C387" s="3">
        <v>45397</v>
      </c>
      <c r="D387">
        <v>1150.52</v>
      </c>
      <c r="E387">
        <v>182644</v>
      </c>
      <c r="F387">
        <v>127223</v>
      </c>
    </row>
    <row r="388" spans="3:6">
      <c r="C388" s="3">
        <v>45394</v>
      </c>
      <c r="D388">
        <v>1175.6099999999999</v>
      </c>
      <c r="E388">
        <v>118199</v>
      </c>
      <c r="F388">
        <v>128755</v>
      </c>
    </row>
    <row r="389" spans="3:6">
      <c r="C389" s="3">
        <v>45393</v>
      </c>
      <c r="D389">
        <v>1191.68</v>
      </c>
      <c r="E389">
        <v>108216</v>
      </c>
      <c r="F389">
        <v>129884</v>
      </c>
    </row>
    <row r="390" spans="3:6">
      <c r="C390" s="3">
        <v>45392</v>
      </c>
      <c r="D390">
        <v>1181.23</v>
      </c>
      <c r="E390">
        <v>179076</v>
      </c>
      <c r="F390">
        <v>129461</v>
      </c>
    </row>
    <row r="391" spans="3:6">
      <c r="C391" s="3">
        <v>45391</v>
      </c>
      <c r="D391">
        <v>1219.08</v>
      </c>
      <c r="E391">
        <v>115405</v>
      </c>
      <c r="F391">
        <v>127873</v>
      </c>
    </row>
    <row r="392" spans="3:6">
      <c r="C392" s="3">
        <v>45390</v>
      </c>
      <c r="D392">
        <v>1238.8800000000001</v>
      </c>
      <c r="E392">
        <v>96384</v>
      </c>
      <c r="F392">
        <v>131935</v>
      </c>
    </row>
    <row r="393" spans="3:6">
      <c r="C393" s="3">
        <v>45387</v>
      </c>
      <c r="D393">
        <v>1231.6500000000001</v>
      </c>
      <c r="E393">
        <v>80303</v>
      </c>
      <c r="F393">
        <v>147714</v>
      </c>
    </row>
    <row r="394" spans="3:6">
      <c r="C394" s="3">
        <v>45386</v>
      </c>
      <c r="D394">
        <v>1219.8499999999999</v>
      </c>
      <c r="E394">
        <v>114124</v>
      </c>
      <c r="F394">
        <v>166657</v>
      </c>
    </row>
    <row r="395" spans="3:6">
      <c r="C395" s="3">
        <v>45385</v>
      </c>
      <c r="D395">
        <v>1248.55</v>
      </c>
      <c r="E395">
        <v>101769</v>
      </c>
      <c r="F395">
        <v>183458</v>
      </c>
    </row>
    <row r="396" spans="3:6">
      <c r="C396" s="3">
        <v>45384</v>
      </c>
      <c r="D396">
        <v>1247.29</v>
      </c>
      <c r="E396">
        <v>141742</v>
      </c>
      <c r="F396">
        <v>186701</v>
      </c>
    </row>
    <row r="397" spans="3:6">
      <c r="C397" s="3">
        <v>45383</v>
      </c>
      <c r="D397">
        <v>1254.3699999999999</v>
      </c>
      <c r="E397">
        <v>121111</v>
      </c>
      <c r="F397">
        <v>187455</v>
      </c>
    </row>
    <row r="398" spans="3:6">
      <c r="C398" s="3">
        <v>45379</v>
      </c>
      <c r="D398">
        <v>1249.6099999999999</v>
      </c>
      <c r="E398">
        <v>151704</v>
      </c>
      <c r="F398">
        <v>188443</v>
      </c>
    </row>
    <row r="399" spans="3:6">
      <c r="C399" s="3">
        <v>45378</v>
      </c>
      <c r="D399">
        <v>1258.51</v>
      </c>
      <c r="E399">
        <v>144687</v>
      </c>
      <c r="F399">
        <v>190538</v>
      </c>
    </row>
    <row r="400" spans="3:6">
      <c r="C400" s="3">
        <v>45377</v>
      </c>
      <c r="D400">
        <v>1282.47</v>
      </c>
      <c r="E400">
        <v>137069</v>
      </c>
      <c r="F400">
        <v>188406</v>
      </c>
    </row>
    <row r="401" spans="3:6">
      <c r="C401" s="3">
        <v>45376</v>
      </c>
      <c r="D401">
        <v>1266.6099999999999</v>
      </c>
      <c r="E401">
        <v>115916</v>
      </c>
      <c r="F401">
        <v>191372</v>
      </c>
    </row>
    <row r="402" spans="3:6">
      <c r="C402" s="3">
        <v>45373</v>
      </c>
      <c r="D402">
        <v>1276.74</v>
      </c>
      <c r="E402">
        <v>205626</v>
      </c>
      <c r="F402">
        <v>189462</v>
      </c>
    </row>
    <row r="403" spans="3:6">
      <c r="C403" s="3">
        <v>45372</v>
      </c>
      <c r="D403">
        <v>1280.02</v>
      </c>
      <c r="E403">
        <v>135124</v>
      </c>
      <c r="F403">
        <v>185654</v>
      </c>
    </row>
    <row r="404" spans="3:6">
      <c r="C404" s="3">
        <v>45371</v>
      </c>
      <c r="D404">
        <v>1245.4000000000001</v>
      </c>
      <c r="E404">
        <v>101868</v>
      </c>
      <c r="F404">
        <v>187530</v>
      </c>
    </row>
    <row r="405" spans="3:6">
      <c r="C405" s="3">
        <v>45370</v>
      </c>
      <c r="D405">
        <v>1235.6300000000001</v>
      </c>
      <c r="E405">
        <v>155265</v>
      </c>
      <c r="F405">
        <v>193632</v>
      </c>
    </row>
    <row r="406" spans="3:6">
      <c r="C406" s="3">
        <v>45369</v>
      </c>
      <c r="D406">
        <v>1222.74</v>
      </c>
      <c r="E406">
        <v>176340</v>
      </c>
      <c r="F406">
        <v>190096</v>
      </c>
    </row>
    <row r="407" spans="3:6">
      <c r="C407" s="3">
        <v>45366</v>
      </c>
      <c r="D407">
        <v>1211.81</v>
      </c>
      <c r="E407">
        <v>333057</v>
      </c>
      <c r="F407">
        <v>190367</v>
      </c>
    </row>
    <row r="408" spans="3:6">
      <c r="C408" s="3">
        <v>45365</v>
      </c>
      <c r="D408">
        <v>1202</v>
      </c>
      <c r="E408">
        <v>364453</v>
      </c>
      <c r="F408">
        <v>176393</v>
      </c>
    </row>
    <row r="409" spans="3:6">
      <c r="C409" s="3">
        <v>45364</v>
      </c>
      <c r="D409">
        <v>1245.82</v>
      </c>
      <c r="E409">
        <v>366137</v>
      </c>
      <c r="F409">
        <v>161841</v>
      </c>
    </row>
    <row r="410" spans="3:6">
      <c r="C410" s="3">
        <v>45363</v>
      </c>
      <c r="D410">
        <v>1328.59</v>
      </c>
      <c r="E410">
        <v>150415</v>
      </c>
      <c r="F410">
        <v>147511</v>
      </c>
    </row>
    <row r="411" spans="3:6">
      <c r="C411" s="3">
        <v>45362</v>
      </c>
      <c r="D411">
        <v>1282.68</v>
      </c>
      <c r="E411">
        <v>153054</v>
      </c>
      <c r="F411">
        <v>147709</v>
      </c>
    </row>
    <row r="412" spans="3:6">
      <c r="C412" s="3">
        <v>45359</v>
      </c>
      <c r="D412">
        <v>1300.45</v>
      </c>
      <c r="E412">
        <v>135929</v>
      </c>
      <c r="F412">
        <v>145193</v>
      </c>
    </row>
    <row r="413" spans="3:6">
      <c r="C413" s="3">
        <v>45358</v>
      </c>
      <c r="D413">
        <v>1334.99</v>
      </c>
      <c r="E413">
        <v>183126</v>
      </c>
      <c r="F413">
        <v>145702</v>
      </c>
    </row>
    <row r="414" spans="3:6">
      <c r="C414" s="3">
        <v>45357</v>
      </c>
      <c r="D414">
        <v>1288.1099999999999</v>
      </c>
      <c r="E414">
        <v>112713</v>
      </c>
      <c r="F414">
        <v>143825</v>
      </c>
    </row>
    <row r="415" spans="3:6">
      <c r="C415" s="3">
        <v>45356</v>
      </c>
      <c r="D415">
        <v>1263.6500000000001</v>
      </c>
      <c r="E415">
        <v>181559</v>
      </c>
      <c r="F415">
        <v>154509</v>
      </c>
    </row>
    <row r="416" spans="3:6">
      <c r="C416" s="3">
        <v>45355</v>
      </c>
      <c r="D416">
        <v>1301.25</v>
      </c>
      <c r="E416">
        <v>87271</v>
      </c>
      <c r="F416">
        <v>153043</v>
      </c>
    </row>
    <row r="417" spans="3:6">
      <c r="C417" s="3">
        <v>45352</v>
      </c>
      <c r="D417">
        <v>1295.2</v>
      </c>
      <c r="E417">
        <v>148503</v>
      </c>
      <c r="F417">
        <v>155156</v>
      </c>
    </row>
    <row r="418" spans="3:6">
      <c r="C418" s="3">
        <v>45351</v>
      </c>
      <c r="D418">
        <v>1269.9100000000001</v>
      </c>
      <c r="E418">
        <v>163261</v>
      </c>
      <c r="F418">
        <v>158373</v>
      </c>
    </row>
    <row r="419" spans="3:6">
      <c r="C419" s="3">
        <v>45350</v>
      </c>
      <c r="D419">
        <v>1274.6300000000001</v>
      </c>
      <c r="E419">
        <v>193391</v>
      </c>
      <c r="F419">
        <v>158728</v>
      </c>
    </row>
    <row r="420" spans="3:6">
      <c r="C420" s="3">
        <v>45349</v>
      </c>
      <c r="D420">
        <v>1276.03</v>
      </c>
      <c r="E420">
        <v>102227</v>
      </c>
      <c r="F420">
        <v>159768</v>
      </c>
    </row>
    <row r="421" spans="3:6">
      <c r="C421" s="3">
        <v>45348</v>
      </c>
      <c r="D421">
        <v>1288.25</v>
      </c>
      <c r="E421">
        <v>180408</v>
      </c>
      <c r="F421">
        <v>159663</v>
      </c>
    </row>
    <row r="422" spans="3:6">
      <c r="C422" s="3">
        <v>45345</v>
      </c>
      <c r="D422">
        <v>1282.33</v>
      </c>
      <c r="E422">
        <v>123454</v>
      </c>
      <c r="F422">
        <v>155730</v>
      </c>
    </row>
    <row r="423" spans="3:6">
      <c r="C423" s="3">
        <v>45344</v>
      </c>
      <c r="D423">
        <v>1288.26</v>
      </c>
      <c r="E423">
        <v>146160</v>
      </c>
      <c r="F423">
        <v>158148</v>
      </c>
    </row>
    <row r="424" spans="3:6">
      <c r="C424" s="3">
        <v>45343</v>
      </c>
      <c r="D424">
        <v>1246.56</v>
      </c>
      <c r="E424">
        <v>151191</v>
      </c>
      <c r="F424">
        <v>162146</v>
      </c>
    </row>
    <row r="425" spans="3:6">
      <c r="C425" s="3">
        <v>45342</v>
      </c>
      <c r="D425">
        <v>1259.2</v>
      </c>
      <c r="E425">
        <v>153381</v>
      </c>
      <c r="F425">
        <v>165083</v>
      </c>
    </row>
    <row r="426" spans="3:6">
      <c r="C426" s="3">
        <v>45338</v>
      </c>
      <c r="D426">
        <v>1282.06</v>
      </c>
      <c r="E426">
        <v>115327</v>
      </c>
      <c r="F426">
        <v>168085</v>
      </c>
    </row>
    <row r="427" spans="3:6">
      <c r="C427" s="3">
        <v>45337</v>
      </c>
      <c r="D427">
        <v>1302.7</v>
      </c>
      <c r="E427">
        <v>143552</v>
      </c>
      <c r="F427">
        <v>187546</v>
      </c>
    </row>
    <row r="428" spans="3:6">
      <c r="C428" s="3">
        <v>45336</v>
      </c>
      <c r="D428">
        <v>1293.8399999999999</v>
      </c>
      <c r="E428">
        <v>154982</v>
      </c>
      <c r="F428">
        <v>192642</v>
      </c>
    </row>
    <row r="429" spans="3:6">
      <c r="C429" s="3">
        <v>45335</v>
      </c>
      <c r="D429">
        <v>1269.48</v>
      </c>
      <c r="E429">
        <v>272961</v>
      </c>
      <c r="F429">
        <v>194443</v>
      </c>
    </row>
    <row r="430" spans="3:6">
      <c r="C430" s="3">
        <v>45334</v>
      </c>
      <c r="D430">
        <v>1298.3499999999999</v>
      </c>
      <c r="E430">
        <v>159583</v>
      </c>
      <c r="F430">
        <v>193615</v>
      </c>
    </row>
    <row r="431" spans="3:6">
      <c r="C431" s="3">
        <v>45331</v>
      </c>
      <c r="D431">
        <v>1323.81</v>
      </c>
      <c r="E431">
        <v>118953</v>
      </c>
      <c r="F431">
        <v>199535</v>
      </c>
    </row>
    <row r="432" spans="3:6">
      <c r="C432" s="3">
        <v>45330</v>
      </c>
      <c r="D432">
        <v>1321.44</v>
      </c>
      <c r="E432">
        <v>196762</v>
      </c>
      <c r="F432">
        <v>203342</v>
      </c>
    </row>
    <row r="433" spans="3:6">
      <c r="C433" s="3">
        <v>45329</v>
      </c>
      <c r="D433">
        <v>1280.45</v>
      </c>
      <c r="E433">
        <v>168593</v>
      </c>
      <c r="F433">
        <v>198949</v>
      </c>
    </row>
    <row r="434" spans="3:6">
      <c r="C434" s="3">
        <v>45328</v>
      </c>
      <c r="D434">
        <v>1259.81</v>
      </c>
      <c r="E434">
        <v>208992</v>
      </c>
      <c r="F434">
        <v>198560</v>
      </c>
    </row>
    <row r="435" spans="3:6">
      <c r="C435" s="3">
        <v>45327</v>
      </c>
      <c r="D435">
        <v>1256.1300000000001</v>
      </c>
      <c r="E435">
        <v>100646</v>
      </c>
      <c r="F435">
        <v>198939</v>
      </c>
    </row>
    <row r="436" spans="3:6">
      <c r="C436" s="3">
        <v>45324</v>
      </c>
      <c r="D436">
        <v>1255.3</v>
      </c>
      <c r="E436">
        <v>121410</v>
      </c>
      <c r="F436">
        <v>200050</v>
      </c>
    </row>
    <row r="437" spans="3:6">
      <c r="C437" s="3">
        <v>45323</v>
      </c>
      <c r="D437">
        <v>1243.17</v>
      </c>
      <c r="E437">
        <v>159725</v>
      </c>
      <c r="F437">
        <v>198963</v>
      </c>
    </row>
    <row r="438" spans="3:6">
      <c r="C438" s="3">
        <v>45322</v>
      </c>
      <c r="D438">
        <v>1198.83</v>
      </c>
      <c r="E438">
        <v>206128</v>
      </c>
      <c r="F438">
        <v>197736</v>
      </c>
    </row>
    <row r="439" spans="3:6">
      <c r="C439" s="3">
        <v>45321</v>
      </c>
      <c r="D439">
        <v>1197.06</v>
      </c>
      <c r="E439">
        <v>195248</v>
      </c>
      <c r="F439">
        <v>191325</v>
      </c>
    </row>
    <row r="440" spans="3:6">
      <c r="C440" s="3">
        <v>45320</v>
      </c>
      <c r="D440">
        <v>1222.3800000000001</v>
      </c>
      <c r="E440">
        <v>198417</v>
      </c>
      <c r="F440">
        <v>187261</v>
      </c>
    </row>
    <row r="441" spans="3:6">
      <c r="C441" s="3">
        <v>45317</v>
      </c>
      <c r="D441">
        <v>1196.3599999999999</v>
      </c>
      <c r="E441">
        <v>407235</v>
      </c>
      <c r="F441">
        <v>185009</v>
      </c>
    </row>
    <row r="442" spans="3:6">
      <c r="C442" s="3">
        <v>45316</v>
      </c>
      <c r="D442">
        <v>1284.27</v>
      </c>
      <c r="E442">
        <v>219995</v>
      </c>
      <c r="F442">
        <v>166376</v>
      </c>
    </row>
    <row r="443" spans="3:6">
      <c r="C443" s="3">
        <v>45315</v>
      </c>
      <c r="D443">
        <v>1275.55</v>
      </c>
      <c r="E443">
        <v>181995</v>
      </c>
      <c r="F443">
        <v>162282</v>
      </c>
    </row>
    <row r="444" spans="3:6">
      <c r="C444" s="3">
        <v>45314</v>
      </c>
      <c r="D444">
        <v>1281.51</v>
      </c>
      <c r="E444">
        <v>260545</v>
      </c>
      <c r="F444">
        <v>162872</v>
      </c>
    </row>
    <row r="445" spans="3:6">
      <c r="C445" s="3">
        <v>45313</v>
      </c>
      <c r="D445">
        <v>1288.32</v>
      </c>
      <c r="E445">
        <v>248384</v>
      </c>
      <c r="F445">
        <v>151969</v>
      </c>
    </row>
    <row r="446" spans="3:6">
      <c r="C446" s="3">
        <v>45310</v>
      </c>
      <c r="D446">
        <v>1260.21</v>
      </c>
      <c r="E446">
        <v>176049</v>
      </c>
      <c r="F446">
        <v>139598</v>
      </c>
    </row>
    <row r="447" spans="3:6">
      <c r="C447" s="3">
        <v>45309</v>
      </c>
      <c r="D447">
        <v>1250.42</v>
      </c>
      <c r="E447">
        <v>130868</v>
      </c>
      <c r="F447">
        <v>135539</v>
      </c>
    </row>
    <row r="448" spans="3:6">
      <c r="C448" s="3">
        <v>45308</v>
      </c>
      <c r="D448">
        <v>1230.1600000000001</v>
      </c>
      <c r="E448">
        <v>162759</v>
      </c>
      <c r="F448">
        <v>134245</v>
      </c>
    </row>
    <row r="449" spans="3:6">
      <c r="C449" s="3">
        <v>45307</v>
      </c>
      <c r="D449">
        <v>1224.3900000000001</v>
      </c>
      <c r="E449">
        <v>214680</v>
      </c>
      <c r="F449">
        <v>127864</v>
      </c>
    </row>
    <row r="450" spans="3:6">
      <c r="C450" s="3">
        <v>45303</v>
      </c>
      <c r="D450">
        <v>1230.99</v>
      </c>
      <c r="E450">
        <v>117315</v>
      </c>
      <c r="F450">
        <v>122563</v>
      </c>
    </row>
    <row r="451" spans="3:6">
      <c r="C451" s="3">
        <v>45302</v>
      </c>
      <c r="D451">
        <v>1214.8399999999999</v>
      </c>
      <c r="E451">
        <v>105107</v>
      </c>
      <c r="F451">
        <v>123412</v>
      </c>
    </row>
    <row r="452" spans="3:6">
      <c r="C452" s="3">
        <v>45301</v>
      </c>
      <c r="D452">
        <v>1200.23</v>
      </c>
      <c r="E452">
        <v>141312</v>
      </c>
      <c r="F452">
        <v>137895</v>
      </c>
    </row>
    <row r="453" spans="3:6">
      <c r="C453" s="3">
        <v>45300</v>
      </c>
      <c r="D453">
        <v>1159.6600000000001</v>
      </c>
      <c r="E453">
        <v>109963</v>
      </c>
      <c r="F453">
        <v>152447</v>
      </c>
    </row>
    <row r="454" spans="3:6">
      <c r="C454" s="3">
        <v>45299</v>
      </c>
      <c r="D454">
        <v>1152.43</v>
      </c>
      <c r="E454">
        <v>134291</v>
      </c>
      <c r="F454">
        <v>176256</v>
      </c>
    </row>
    <row r="455" spans="3:6">
      <c r="C455" s="3">
        <v>45296</v>
      </c>
      <c r="D455">
        <v>1115.46</v>
      </c>
      <c r="E455">
        <v>164641</v>
      </c>
      <c r="F455">
        <v>195545</v>
      </c>
    </row>
    <row r="456" spans="3:6">
      <c r="C456" s="3">
        <v>45295</v>
      </c>
      <c r="D456">
        <v>1117.46</v>
      </c>
      <c r="E456">
        <v>127731</v>
      </c>
      <c r="F456">
        <v>200321</v>
      </c>
    </row>
    <row r="457" spans="3:6">
      <c r="C457" s="3">
        <v>45294</v>
      </c>
      <c r="D457">
        <v>1122.3699999999999</v>
      </c>
      <c r="E457">
        <v>158588</v>
      </c>
      <c r="F457">
        <v>202510</v>
      </c>
    </row>
    <row r="458" spans="3:6">
      <c r="C458" s="3">
        <v>45293</v>
      </c>
      <c r="D458">
        <v>1131.1600000000001</v>
      </c>
      <c r="E458">
        <v>190842</v>
      </c>
      <c r="F458">
        <v>200811</v>
      </c>
    </row>
    <row r="459" spans="3:6">
      <c r="C459" s="3">
        <v>45289</v>
      </c>
      <c r="D459">
        <v>1164.01</v>
      </c>
      <c r="E459">
        <v>97009</v>
      </c>
      <c r="F459">
        <v>196760</v>
      </c>
    </row>
    <row r="460" spans="3:6">
      <c r="C460" s="3">
        <v>45288</v>
      </c>
      <c r="D460">
        <v>1169.3399999999999</v>
      </c>
      <c r="E460">
        <v>62817</v>
      </c>
      <c r="F460">
        <v>199521</v>
      </c>
    </row>
    <row r="461" spans="3:6">
      <c r="C461" s="3">
        <v>45287</v>
      </c>
      <c r="D461">
        <v>1170.6099999999999</v>
      </c>
      <c r="E461">
        <v>115164</v>
      </c>
      <c r="F461">
        <v>206130</v>
      </c>
    </row>
    <row r="462" spans="3:6">
      <c r="C462" s="3">
        <v>45286</v>
      </c>
      <c r="D462">
        <v>1164.6199999999999</v>
      </c>
      <c r="E462">
        <v>111451</v>
      </c>
      <c r="F462">
        <v>208860</v>
      </c>
    </row>
    <row r="463" spans="3:6">
      <c r="C463" s="3">
        <v>45282</v>
      </c>
      <c r="D463">
        <v>1168.8800000000001</v>
      </c>
      <c r="E463">
        <v>67053</v>
      </c>
      <c r="F463">
        <v>214167</v>
      </c>
    </row>
    <row r="464" spans="3:6">
      <c r="C464" s="3">
        <v>45281</v>
      </c>
      <c r="D464">
        <v>1165.46</v>
      </c>
      <c r="E464">
        <v>135161</v>
      </c>
      <c r="F464">
        <v>229687</v>
      </c>
    </row>
    <row r="465" spans="3:6">
      <c r="C465" s="3">
        <v>45280</v>
      </c>
      <c r="D465">
        <v>1155.1500000000001</v>
      </c>
      <c r="E465">
        <v>130052</v>
      </c>
      <c r="F465">
        <v>245375</v>
      </c>
    </row>
    <row r="466" spans="3:6">
      <c r="C466" s="3">
        <v>45279</v>
      </c>
      <c r="D466">
        <v>1152.51</v>
      </c>
      <c r="E466">
        <v>322347</v>
      </c>
      <c r="F466">
        <v>251365</v>
      </c>
    </row>
    <row r="467" spans="3:6">
      <c r="C467" s="3">
        <v>45278</v>
      </c>
      <c r="D467">
        <v>1148.77</v>
      </c>
      <c r="E467">
        <v>359591</v>
      </c>
      <c r="F467">
        <v>240625</v>
      </c>
    </row>
    <row r="468" spans="3:6">
      <c r="C468" s="3">
        <v>45275</v>
      </c>
      <c r="D468">
        <v>1129.78</v>
      </c>
      <c r="E468">
        <v>467099</v>
      </c>
      <c r="F468">
        <v>226162</v>
      </c>
    </row>
    <row r="469" spans="3:6">
      <c r="C469" s="3">
        <v>45274</v>
      </c>
      <c r="D469">
        <v>1129.5899999999999</v>
      </c>
      <c r="E469">
        <v>423633</v>
      </c>
      <c r="F469">
        <v>197423</v>
      </c>
    </row>
    <row r="470" spans="3:6">
      <c r="C470" s="3">
        <v>45273</v>
      </c>
      <c r="D470">
        <v>1166.78</v>
      </c>
      <c r="E470">
        <v>236277</v>
      </c>
      <c r="F470">
        <v>175903</v>
      </c>
    </row>
    <row r="471" spans="3:6">
      <c r="C471" s="3">
        <v>45272</v>
      </c>
      <c r="D471">
        <v>1159.22</v>
      </c>
      <c r="E471">
        <v>160563</v>
      </c>
      <c r="F471">
        <v>167534</v>
      </c>
    </row>
    <row r="472" spans="3:6">
      <c r="C472" s="3">
        <v>45271</v>
      </c>
      <c r="D472">
        <v>1145.82</v>
      </c>
      <c r="E472">
        <v>133110</v>
      </c>
      <c r="F472">
        <v>164095</v>
      </c>
    </row>
    <row r="473" spans="3:6">
      <c r="C473" s="3">
        <v>45268</v>
      </c>
      <c r="D473">
        <v>1134.3900000000001</v>
      </c>
      <c r="E473">
        <v>130079</v>
      </c>
      <c r="F473">
        <v>161995</v>
      </c>
    </row>
    <row r="474" spans="3:6">
      <c r="C474" s="3">
        <v>45267</v>
      </c>
      <c r="D474">
        <v>1118.06</v>
      </c>
      <c r="E474">
        <v>138422</v>
      </c>
      <c r="F474">
        <v>162831</v>
      </c>
    </row>
    <row r="475" spans="3:6">
      <c r="C475" s="3">
        <v>45266</v>
      </c>
      <c r="D475">
        <v>1111.6099999999999</v>
      </c>
      <c r="E475">
        <v>161954</v>
      </c>
      <c r="F475">
        <v>167668</v>
      </c>
    </row>
    <row r="476" spans="3:6">
      <c r="C476" s="3">
        <v>45265</v>
      </c>
      <c r="D476">
        <v>1131.04</v>
      </c>
      <c r="E476">
        <v>156112</v>
      </c>
      <c r="F476">
        <v>171167</v>
      </c>
    </row>
    <row r="477" spans="3:6">
      <c r="C477" s="3">
        <v>45264</v>
      </c>
      <c r="D477">
        <v>1122.43</v>
      </c>
      <c r="E477">
        <v>191052</v>
      </c>
      <c r="F477">
        <v>171799</v>
      </c>
    </row>
    <row r="478" spans="3:6">
      <c r="C478" s="3">
        <v>45261</v>
      </c>
      <c r="D478">
        <v>1127.71</v>
      </c>
      <c r="E478">
        <v>299849</v>
      </c>
      <c r="F478">
        <v>171614</v>
      </c>
    </row>
    <row r="479" spans="3:6">
      <c r="C479" s="3">
        <v>45260</v>
      </c>
      <c r="D479">
        <v>1087.5999999999999</v>
      </c>
      <c r="E479">
        <v>370491</v>
      </c>
      <c r="F479">
        <v>174513</v>
      </c>
    </row>
    <row r="480" spans="3:6">
      <c r="C480" s="3">
        <v>45259</v>
      </c>
      <c r="D480">
        <v>1075.0999999999999</v>
      </c>
      <c r="E480">
        <v>219898</v>
      </c>
      <c r="F480">
        <v>168765</v>
      </c>
    </row>
    <row r="481" spans="3:6">
      <c r="C481" s="3">
        <v>45258</v>
      </c>
      <c r="D481">
        <v>1073.31</v>
      </c>
      <c r="E481">
        <v>161249</v>
      </c>
      <c r="F481">
        <v>164242</v>
      </c>
    </row>
    <row r="482" spans="3:6">
      <c r="C482" s="3">
        <v>45257</v>
      </c>
      <c r="D482">
        <v>1081.96</v>
      </c>
      <c r="E482">
        <v>142641</v>
      </c>
      <c r="F482">
        <v>168130</v>
      </c>
    </row>
    <row r="483" spans="3:6">
      <c r="C483" s="3">
        <v>45254</v>
      </c>
      <c r="D483">
        <v>1069.54</v>
      </c>
      <c r="E483">
        <v>36011</v>
      </c>
      <c r="F483">
        <v>170045</v>
      </c>
    </row>
    <row r="484" spans="3:6">
      <c r="C484" s="3">
        <v>45252</v>
      </c>
      <c r="D484">
        <v>1065.17</v>
      </c>
      <c r="E484">
        <v>100831</v>
      </c>
      <c r="F484">
        <v>180427</v>
      </c>
    </row>
    <row r="485" spans="3:6">
      <c r="C485" s="3">
        <v>45251</v>
      </c>
      <c r="D485">
        <v>1054.9000000000001</v>
      </c>
      <c r="E485">
        <v>110744</v>
      </c>
      <c r="F485">
        <v>186635</v>
      </c>
    </row>
    <row r="486" spans="3:6">
      <c r="C486" s="3">
        <v>45250</v>
      </c>
      <c r="D486">
        <v>1051.45</v>
      </c>
      <c r="E486">
        <v>108983</v>
      </c>
      <c r="F486">
        <v>190021</v>
      </c>
    </row>
    <row r="487" spans="3:6">
      <c r="C487" s="3">
        <v>45247</v>
      </c>
      <c r="D487">
        <v>1042.27</v>
      </c>
      <c r="E487">
        <v>101614</v>
      </c>
      <c r="F487">
        <v>192845</v>
      </c>
    </row>
    <row r="488" spans="3:6">
      <c r="C488" s="3">
        <v>45246</v>
      </c>
      <c r="D488">
        <v>1034.06</v>
      </c>
      <c r="E488">
        <v>142614</v>
      </c>
      <c r="F488">
        <v>201792</v>
      </c>
    </row>
    <row r="489" spans="3:6">
      <c r="C489" s="3">
        <v>45245</v>
      </c>
      <c r="D489">
        <v>1020.96</v>
      </c>
      <c r="E489">
        <v>210984</v>
      </c>
      <c r="F489">
        <v>213209</v>
      </c>
    </row>
    <row r="490" spans="3:6">
      <c r="C490" s="3">
        <v>45244</v>
      </c>
      <c r="D490">
        <v>1027.1500000000001</v>
      </c>
      <c r="E490">
        <v>214435</v>
      </c>
      <c r="F490">
        <v>228880</v>
      </c>
    </row>
    <row r="491" spans="3:6">
      <c r="C491" s="3">
        <v>45243</v>
      </c>
      <c r="D491">
        <v>1012.27</v>
      </c>
      <c r="E491">
        <v>165585</v>
      </c>
      <c r="F491">
        <v>251517</v>
      </c>
    </row>
    <row r="492" spans="3:6">
      <c r="C492" s="3">
        <v>45240</v>
      </c>
      <c r="D492">
        <v>996.7</v>
      </c>
      <c r="E492">
        <v>188286</v>
      </c>
      <c r="F492">
        <v>254083</v>
      </c>
    </row>
    <row r="493" spans="3:6">
      <c r="C493" s="3">
        <v>45239</v>
      </c>
      <c r="D493">
        <v>962.7</v>
      </c>
      <c r="E493">
        <v>343330</v>
      </c>
      <c r="F493">
        <v>256424</v>
      </c>
    </row>
    <row r="494" spans="3:6">
      <c r="C494" s="3">
        <v>45238</v>
      </c>
      <c r="D494">
        <v>940.43</v>
      </c>
      <c r="E494">
        <v>284267</v>
      </c>
      <c r="F494">
        <v>253189</v>
      </c>
    </row>
    <row r="495" spans="3:6">
      <c r="C495" s="3">
        <v>45237</v>
      </c>
      <c r="D495">
        <v>938.4</v>
      </c>
      <c r="E495">
        <v>152053</v>
      </c>
      <c r="F495">
        <v>251333</v>
      </c>
    </row>
    <row r="496" spans="3:6">
      <c r="C496" s="3">
        <v>45236</v>
      </c>
      <c r="D496">
        <v>927.76</v>
      </c>
      <c r="E496">
        <v>219576</v>
      </c>
      <c r="F496">
        <v>257850</v>
      </c>
    </row>
    <row r="497" spans="3:6">
      <c r="C497" s="3">
        <v>45233</v>
      </c>
      <c r="D497">
        <v>930.41</v>
      </c>
      <c r="E497">
        <v>171360</v>
      </c>
      <c r="F497">
        <v>251746</v>
      </c>
    </row>
    <row r="498" spans="3:6">
      <c r="C498" s="3">
        <v>45232</v>
      </c>
      <c r="D498">
        <v>900.69</v>
      </c>
      <c r="E498">
        <v>191740</v>
      </c>
      <c r="F498">
        <v>250611</v>
      </c>
    </row>
    <row r="499" spans="3:6">
      <c r="C499" s="3">
        <v>45231</v>
      </c>
      <c r="D499">
        <v>870.99</v>
      </c>
      <c r="E499">
        <v>193949</v>
      </c>
      <c r="F499">
        <v>247816</v>
      </c>
    </row>
    <row r="500" spans="3:6">
      <c r="C500" s="3">
        <v>45230</v>
      </c>
      <c r="D500">
        <v>845.87</v>
      </c>
      <c r="E500">
        <v>161543</v>
      </c>
      <c r="F500">
        <v>245695</v>
      </c>
    </row>
    <row r="501" spans="3:6">
      <c r="C501" s="3">
        <v>45229</v>
      </c>
      <c r="D501">
        <v>851.29</v>
      </c>
      <c r="E501">
        <v>151344</v>
      </c>
      <c r="F501">
        <v>243385</v>
      </c>
    </row>
    <row r="502" spans="3:6">
      <c r="C502" s="3">
        <v>45226</v>
      </c>
      <c r="D502">
        <v>848.1</v>
      </c>
      <c r="E502">
        <v>235815</v>
      </c>
      <c r="F502">
        <v>241855</v>
      </c>
    </row>
    <row r="503" spans="3:6">
      <c r="C503" s="3">
        <v>45225</v>
      </c>
      <c r="D503">
        <v>829.72</v>
      </c>
      <c r="E503">
        <v>313868</v>
      </c>
      <c r="F503">
        <v>232799</v>
      </c>
    </row>
    <row r="504" spans="3:6">
      <c r="C504" s="3">
        <v>45224</v>
      </c>
      <c r="D504">
        <v>825.1</v>
      </c>
      <c r="E504">
        <v>446042</v>
      </c>
      <c r="F504">
        <v>219177</v>
      </c>
    </row>
    <row r="505" spans="3:6">
      <c r="C505" s="3">
        <v>45223</v>
      </c>
      <c r="D505">
        <v>862.12</v>
      </c>
      <c r="E505">
        <v>553990</v>
      </c>
      <c r="F505">
        <v>198231</v>
      </c>
    </row>
    <row r="506" spans="3:6">
      <c r="C506" s="3">
        <v>45222</v>
      </c>
      <c r="D506">
        <v>927.19</v>
      </c>
      <c r="E506">
        <v>204087</v>
      </c>
      <c r="F506">
        <v>176002</v>
      </c>
    </row>
    <row r="507" spans="3:6">
      <c r="C507" s="3">
        <v>45219</v>
      </c>
      <c r="D507">
        <v>912</v>
      </c>
      <c r="E507">
        <v>223402</v>
      </c>
      <c r="F507">
        <v>171754</v>
      </c>
    </row>
    <row r="508" spans="3:6">
      <c r="C508" s="3">
        <v>45218</v>
      </c>
      <c r="D508">
        <v>919.26</v>
      </c>
      <c r="E508">
        <v>294801</v>
      </c>
      <c r="F508">
        <v>170019</v>
      </c>
    </row>
    <row r="509" spans="3:6">
      <c r="C509" s="3">
        <v>45217</v>
      </c>
      <c r="D509">
        <v>914.7</v>
      </c>
      <c r="E509">
        <v>256420</v>
      </c>
      <c r="F509">
        <v>158180</v>
      </c>
    </row>
    <row r="510" spans="3:6">
      <c r="C510" s="3">
        <v>45216</v>
      </c>
      <c r="D510">
        <v>918.29</v>
      </c>
      <c r="E510">
        <v>249817</v>
      </c>
      <c r="F510">
        <v>152041</v>
      </c>
    </row>
    <row r="511" spans="3:6">
      <c r="C511" s="3">
        <v>45215</v>
      </c>
      <c r="D511">
        <v>886.6</v>
      </c>
      <c r="E511">
        <v>128007</v>
      </c>
      <c r="F511">
        <v>146665</v>
      </c>
    </row>
    <row r="512" spans="3:6">
      <c r="C512" s="3">
        <v>45212</v>
      </c>
      <c r="D512">
        <v>895.34</v>
      </c>
      <c r="E512">
        <v>154347</v>
      </c>
      <c r="F512">
        <v>147276</v>
      </c>
    </row>
    <row r="513" spans="3:6">
      <c r="C513" s="3">
        <v>45211</v>
      </c>
      <c r="D513">
        <v>892.34</v>
      </c>
      <c r="E513">
        <v>149803</v>
      </c>
      <c r="F513">
        <v>148698</v>
      </c>
    </row>
    <row r="514" spans="3:6">
      <c r="C514" s="3">
        <v>45210</v>
      </c>
      <c r="D514">
        <v>904.68</v>
      </c>
      <c r="E514">
        <v>162138</v>
      </c>
      <c r="F514">
        <v>152992</v>
      </c>
    </row>
    <row r="515" spans="3:6">
      <c r="C515" s="3">
        <v>45209</v>
      </c>
      <c r="D515">
        <v>889.15</v>
      </c>
      <c r="E515">
        <v>126895</v>
      </c>
      <c r="F515">
        <v>151877</v>
      </c>
    </row>
    <row r="516" spans="3:6">
      <c r="C516" s="3">
        <v>45208</v>
      </c>
      <c r="D516">
        <v>889.39</v>
      </c>
      <c r="E516">
        <v>128397</v>
      </c>
      <c r="F516">
        <v>157662</v>
      </c>
    </row>
    <row r="517" spans="3:6">
      <c r="C517" s="3">
        <v>45205</v>
      </c>
      <c r="D517">
        <v>873.52</v>
      </c>
      <c r="E517">
        <v>99977</v>
      </c>
      <c r="F517">
        <v>162925</v>
      </c>
    </row>
    <row r="518" spans="3:6">
      <c r="C518" s="3">
        <v>45204</v>
      </c>
      <c r="D518">
        <v>862.53</v>
      </c>
      <c r="E518">
        <v>109527</v>
      </c>
      <c r="F518">
        <v>184717</v>
      </c>
    </row>
    <row r="519" spans="3:6">
      <c r="C519" s="3">
        <v>45203</v>
      </c>
      <c r="D519">
        <v>860.85</v>
      </c>
      <c r="E519">
        <v>131857</v>
      </c>
      <c r="F519">
        <v>192366</v>
      </c>
    </row>
    <row r="520" spans="3:6">
      <c r="C520" s="3">
        <v>45202</v>
      </c>
      <c r="D520">
        <v>836.54</v>
      </c>
      <c r="E520">
        <v>220549</v>
      </c>
      <c r="F520">
        <v>199004</v>
      </c>
    </row>
    <row r="521" spans="3:6">
      <c r="C521" s="3">
        <v>45201</v>
      </c>
      <c r="D521">
        <v>863.59</v>
      </c>
      <c r="E521">
        <v>140374</v>
      </c>
      <c r="F521">
        <v>193568</v>
      </c>
    </row>
    <row r="522" spans="3:6">
      <c r="C522" s="3">
        <v>45198</v>
      </c>
      <c r="D522">
        <v>868.53</v>
      </c>
      <c r="E522">
        <v>197369</v>
      </c>
      <c r="F522">
        <v>190881</v>
      </c>
    </row>
    <row r="523" spans="3:6">
      <c r="C523" s="3">
        <v>45197</v>
      </c>
      <c r="D523">
        <v>886.84</v>
      </c>
      <c r="E523">
        <v>117219</v>
      </c>
      <c r="F523">
        <v>185103</v>
      </c>
    </row>
    <row r="524" spans="3:6">
      <c r="C524" s="3">
        <v>45196</v>
      </c>
      <c r="D524">
        <v>885.61</v>
      </c>
      <c r="E524">
        <v>164345</v>
      </c>
      <c r="F524">
        <v>190109</v>
      </c>
    </row>
    <row r="525" spans="3:6">
      <c r="C525" s="3">
        <v>45195</v>
      </c>
      <c r="D525">
        <v>871.22</v>
      </c>
      <c r="E525">
        <v>169170</v>
      </c>
      <c r="F525">
        <v>189533</v>
      </c>
    </row>
    <row r="526" spans="3:6">
      <c r="C526" s="3">
        <v>45194</v>
      </c>
      <c r="D526">
        <v>889.98</v>
      </c>
      <c r="E526">
        <v>137178</v>
      </c>
      <c r="F526">
        <v>188063</v>
      </c>
    </row>
    <row r="527" spans="3:6">
      <c r="C527" s="3">
        <v>45191</v>
      </c>
      <c r="D527">
        <v>889.51</v>
      </c>
      <c r="E527">
        <v>175667</v>
      </c>
      <c r="F527">
        <v>190697</v>
      </c>
    </row>
    <row r="528" spans="3:6">
      <c r="C528" s="3">
        <v>45190</v>
      </c>
      <c r="D528">
        <v>889.84</v>
      </c>
      <c r="E528">
        <v>214225</v>
      </c>
      <c r="F528">
        <v>192682</v>
      </c>
    </row>
    <row r="529" spans="3:6">
      <c r="C529" s="3">
        <v>45189</v>
      </c>
      <c r="D529">
        <v>903.87</v>
      </c>
      <c r="E529">
        <v>145405</v>
      </c>
      <c r="F529">
        <v>189072</v>
      </c>
    </row>
    <row r="530" spans="3:6">
      <c r="C530" s="3">
        <v>45188</v>
      </c>
      <c r="D530">
        <v>909.97</v>
      </c>
      <c r="E530">
        <v>213676</v>
      </c>
      <c r="F530">
        <v>187601</v>
      </c>
    </row>
    <row r="531" spans="3:6">
      <c r="C531" s="3">
        <v>45187</v>
      </c>
      <c r="D531">
        <v>903.12</v>
      </c>
      <c r="E531">
        <v>207340</v>
      </c>
      <c r="F531">
        <v>184404</v>
      </c>
    </row>
    <row r="532" spans="3:6">
      <c r="C532" s="3">
        <v>45184</v>
      </c>
      <c r="D532">
        <v>891.4</v>
      </c>
      <c r="E532">
        <v>426853</v>
      </c>
      <c r="F532">
        <v>175505</v>
      </c>
    </row>
    <row r="533" spans="3:6">
      <c r="C533" s="3">
        <v>45183</v>
      </c>
      <c r="D533">
        <v>906.52</v>
      </c>
      <c r="E533">
        <v>224257</v>
      </c>
      <c r="F533">
        <v>153569</v>
      </c>
    </row>
    <row r="534" spans="3:6">
      <c r="C534" s="3">
        <v>45182</v>
      </c>
      <c r="D534">
        <v>897.46</v>
      </c>
      <c r="E534">
        <v>231436</v>
      </c>
      <c r="F534">
        <v>146988</v>
      </c>
    </row>
    <row r="535" spans="3:6">
      <c r="C535" s="3">
        <v>45181</v>
      </c>
      <c r="D535">
        <v>890.35</v>
      </c>
      <c r="E535">
        <v>139010</v>
      </c>
      <c r="F535">
        <v>137542</v>
      </c>
    </row>
    <row r="536" spans="3:6">
      <c r="C536" s="3">
        <v>45180</v>
      </c>
      <c r="D536">
        <v>904.93</v>
      </c>
      <c r="E536">
        <v>100058</v>
      </c>
      <c r="F536">
        <v>137337</v>
      </c>
    </row>
    <row r="537" spans="3:6">
      <c r="C537" s="3">
        <v>45177</v>
      </c>
      <c r="D537">
        <v>899.72</v>
      </c>
      <c r="E537">
        <v>110705</v>
      </c>
      <c r="F537">
        <v>139780</v>
      </c>
    </row>
    <row r="538" spans="3:6">
      <c r="C538" s="3">
        <v>45176</v>
      </c>
      <c r="D538">
        <v>904.22</v>
      </c>
      <c r="E538">
        <v>192311</v>
      </c>
      <c r="F538">
        <v>143466</v>
      </c>
    </row>
    <row r="539" spans="3:6">
      <c r="C539" s="3">
        <v>45175</v>
      </c>
      <c r="D539">
        <v>907.88</v>
      </c>
      <c r="E539">
        <v>155706</v>
      </c>
      <c r="F539">
        <v>136709</v>
      </c>
    </row>
    <row r="540" spans="3:6">
      <c r="C540" s="3">
        <v>45174</v>
      </c>
      <c r="D540">
        <v>892.71</v>
      </c>
      <c r="E540">
        <v>147115</v>
      </c>
      <c r="F540">
        <v>133357</v>
      </c>
    </row>
    <row r="541" spans="3:6">
      <c r="C541" s="3">
        <v>45170</v>
      </c>
      <c r="D541">
        <v>896.56</v>
      </c>
      <c r="E541">
        <v>176696</v>
      </c>
      <c r="F541">
        <v>132432</v>
      </c>
    </row>
    <row r="542" spans="3:6">
      <c r="C542" s="3">
        <v>45169</v>
      </c>
      <c r="D542">
        <v>904.59</v>
      </c>
      <c r="E542">
        <v>205430</v>
      </c>
      <c r="F542">
        <v>125670</v>
      </c>
    </row>
    <row r="543" spans="3:6">
      <c r="C543" s="3">
        <v>45168</v>
      </c>
      <c r="D543">
        <v>898.69</v>
      </c>
      <c r="E543">
        <v>160087</v>
      </c>
      <c r="F543">
        <v>120120</v>
      </c>
    </row>
    <row r="544" spans="3:6">
      <c r="C544" s="3">
        <v>45167</v>
      </c>
      <c r="D544">
        <v>888.34</v>
      </c>
      <c r="E544">
        <v>123334</v>
      </c>
      <c r="F544">
        <v>116090</v>
      </c>
    </row>
    <row r="545" spans="3:6">
      <c r="C545" s="3">
        <v>45166</v>
      </c>
      <c r="D545">
        <v>865</v>
      </c>
      <c r="E545">
        <v>165725</v>
      </c>
      <c r="F545">
        <v>120779</v>
      </c>
    </row>
    <row r="546" spans="3:6">
      <c r="C546" s="3">
        <v>45163</v>
      </c>
      <c r="D546">
        <v>851.89</v>
      </c>
      <c r="E546">
        <v>73846</v>
      </c>
      <c r="F546">
        <v>120500</v>
      </c>
    </row>
    <row r="547" spans="3:6">
      <c r="C547" s="3">
        <v>45162</v>
      </c>
      <c r="D547">
        <v>846.91</v>
      </c>
      <c r="E547">
        <v>97815</v>
      </c>
      <c r="F547">
        <v>127138</v>
      </c>
    </row>
    <row r="548" spans="3:6">
      <c r="C548" s="3">
        <v>45161</v>
      </c>
      <c r="D548">
        <v>859.91</v>
      </c>
      <c r="E548">
        <v>125549</v>
      </c>
      <c r="F548">
        <v>143506</v>
      </c>
    </row>
    <row r="549" spans="3:6">
      <c r="C549" s="3">
        <v>45160</v>
      </c>
      <c r="D549">
        <v>843.51</v>
      </c>
      <c r="E549">
        <v>89750</v>
      </c>
      <c r="F549">
        <v>149475</v>
      </c>
    </row>
    <row r="550" spans="3:6">
      <c r="C550" s="3">
        <v>45159</v>
      </c>
      <c r="D550">
        <v>845.4</v>
      </c>
      <c r="E550">
        <v>135935</v>
      </c>
      <c r="F550">
        <v>153831</v>
      </c>
    </row>
    <row r="551" spans="3:6">
      <c r="C551" s="3">
        <v>45156</v>
      </c>
      <c r="D551">
        <v>846.13</v>
      </c>
      <c r="E551">
        <v>136703</v>
      </c>
      <c r="F551">
        <v>152184</v>
      </c>
    </row>
    <row r="552" spans="3:6">
      <c r="C552" s="3">
        <v>45155</v>
      </c>
      <c r="D552">
        <v>843.48</v>
      </c>
      <c r="E552">
        <v>165985</v>
      </c>
      <c r="F552">
        <v>152850</v>
      </c>
    </row>
    <row r="553" spans="3:6">
      <c r="C553" s="3">
        <v>45154</v>
      </c>
      <c r="D553">
        <v>848.8</v>
      </c>
      <c r="E553">
        <v>90962</v>
      </c>
      <c r="F553">
        <v>164348</v>
      </c>
    </row>
    <row r="554" spans="3:6">
      <c r="C554" s="3">
        <v>45153</v>
      </c>
      <c r="D554">
        <v>871.09</v>
      </c>
      <c r="E554">
        <v>105428</v>
      </c>
      <c r="F554">
        <v>174557</v>
      </c>
    </row>
    <row r="555" spans="3:6">
      <c r="C555" s="3">
        <v>45152</v>
      </c>
      <c r="D555">
        <v>875.66</v>
      </c>
      <c r="E555">
        <v>133238</v>
      </c>
      <c r="F555">
        <v>187673</v>
      </c>
    </row>
    <row r="556" spans="3:6">
      <c r="C556" s="3">
        <v>45149</v>
      </c>
      <c r="D556">
        <v>860.11</v>
      </c>
      <c r="E556">
        <v>75258</v>
      </c>
      <c r="F556">
        <v>189472</v>
      </c>
    </row>
    <row r="557" spans="3:6">
      <c r="C557" s="3">
        <v>45148</v>
      </c>
      <c r="D557">
        <v>859.09</v>
      </c>
      <c r="E557">
        <v>122192</v>
      </c>
      <c r="F557">
        <v>193296</v>
      </c>
    </row>
    <row r="558" spans="3:6">
      <c r="C558" s="3">
        <v>45147</v>
      </c>
      <c r="D558">
        <v>854.77</v>
      </c>
      <c r="E558">
        <v>99623</v>
      </c>
      <c r="F558">
        <v>202579</v>
      </c>
    </row>
    <row r="559" spans="3:6">
      <c r="C559" s="3">
        <v>45146</v>
      </c>
      <c r="D559">
        <v>856.16</v>
      </c>
      <c r="E559">
        <v>193672</v>
      </c>
      <c r="F559">
        <v>205990</v>
      </c>
    </row>
    <row r="560" spans="3:6">
      <c r="C560" s="3">
        <v>45145</v>
      </c>
      <c r="D560">
        <v>861.27</v>
      </c>
      <c r="E560">
        <v>161550</v>
      </c>
      <c r="F560">
        <v>202040</v>
      </c>
    </row>
    <row r="561" spans="3:6">
      <c r="C561" s="3">
        <v>45142</v>
      </c>
      <c r="D561">
        <v>841.02</v>
      </c>
      <c r="E561">
        <v>173416</v>
      </c>
      <c r="F561">
        <v>200603</v>
      </c>
    </row>
    <row r="562" spans="3:6">
      <c r="C562" s="3">
        <v>45141</v>
      </c>
      <c r="D562">
        <v>855.18</v>
      </c>
      <c r="E562">
        <v>343322</v>
      </c>
      <c r="F562">
        <v>197597</v>
      </c>
    </row>
    <row r="563" spans="3:6">
      <c r="C563" s="3">
        <v>45140</v>
      </c>
      <c r="D563">
        <v>822.19</v>
      </c>
      <c r="E563">
        <v>215091</v>
      </c>
      <c r="F563">
        <v>181686</v>
      </c>
    </row>
    <row r="564" spans="3:6">
      <c r="C564" s="3">
        <v>45139</v>
      </c>
      <c r="D564">
        <v>829.69</v>
      </c>
      <c r="E564">
        <v>155087</v>
      </c>
      <c r="F564">
        <v>177226</v>
      </c>
    </row>
    <row r="565" spans="3:6">
      <c r="C565" s="3">
        <v>45138</v>
      </c>
      <c r="D565">
        <v>837.97</v>
      </c>
      <c r="E565">
        <v>111233</v>
      </c>
      <c r="F565">
        <v>177096</v>
      </c>
    </row>
    <row r="566" spans="3:6">
      <c r="C566" s="3">
        <v>45135</v>
      </c>
      <c r="D566">
        <v>824.97</v>
      </c>
      <c r="E566">
        <v>146697</v>
      </c>
      <c r="F566">
        <v>179788</v>
      </c>
    </row>
    <row r="567" spans="3:6">
      <c r="C567" s="3">
        <v>45134</v>
      </c>
      <c r="D567">
        <v>820.32</v>
      </c>
      <c r="E567">
        <v>338449</v>
      </c>
      <c r="F567">
        <v>179706</v>
      </c>
    </row>
    <row r="568" spans="3:6">
      <c r="C568" s="3">
        <v>45133</v>
      </c>
      <c r="D568">
        <v>834.75</v>
      </c>
      <c r="E568">
        <v>244092</v>
      </c>
      <c r="F568">
        <v>168808</v>
      </c>
    </row>
    <row r="569" spans="3:6">
      <c r="C569" s="3">
        <v>45132</v>
      </c>
      <c r="D569">
        <v>852.49</v>
      </c>
      <c r="E569">
        <v>302176</v>
      </c>
      <c r="F569">
        <v>159863</v>
      </c>
    </row>
    <row r="570" spans="3:6">
      <c r="C570" s="3">
        <v>45131</v>
      </c>
      <c r="D570">
        <v>834.78</v>
      </c>
      <c r="E570">
        <v>160229</v>
      </c>
      <c r="F570">
        <v>144355</v>
      </c>
    </row>
    <row r="571" spans="3:6">
      <c r="C571" s="3">
        <v>45128</v>
      </c>
      <c r="D571">
        <v>844.5</v>
      </c>
      <c r="E571">
        <v>132615</v>
      </c>
      <c r="F571">
        <v>144627</v>
      </c>
    </row>
    <row r="572" spans="3:6">
      <c r="C572" s="3">
        <v>45127</v>
      </c>
      <c r="D572">
        <v>852.16</v>
      </c>
      <c r="E572">
        <v>261426</v>
      </c>
      <c r="F572">
        <v>142747</v>
      </c>
    </row>
    <row r="573" spans="3:6">
      <c r="C573" s="3">
        <v>45126</v>
      </c>
      <c r="D573">
        <v>844.85</v>
      </c>
      <c r="E573">
        <v>150799</v>
      </c>
      <c r="F573">
        <v>135572</v>
      </c>
    </row>
    <row r="574" spans="3:6">
      <c r="C574" s="3">
        <v>45125</v>
      </c>
      <c r="D574">
        <v>843.67</v>
      </c>
      <c r="E574">
        <v>134422</v>
      </c>
      <c r="F574">
        <v>140773</v>
      </c>
    </row>
    <row r="575" spans="3:6">
      <c r="C575" s="3">
        <v>45124</v>
      </c>
      <c r="D575">
        <v>837.24</v>
      </c>
      <c r="E575">
        <v>139990</v>
      </c>
      <c r="F575">
        <v>140188</v>
      </c>
    </row>
    <row r="576" spans="3:6">
      <c r="C576" s="3">
        <v>45121</v>
      </c>
      <c r="D576">
        <v>824.45</v>
      </c>
      <c r="E576">
        <v>128334</v>
      </c>
      <c r="F576">
        <v>152595</v>
      </c>
    </row>
    <row r="577" spans="3:6">
      <c r="C577" s="3">
        <v>45120</v>
      </c>
      <c r="D577">
        <v>810.8</v>
      </c>
      <c r="E577">
        <v>104653</v>
      </c>
      <c r="F577">
        <v>152712</v>
      </c>
    </row>
    <row r="578" spans="3:6">
      <c r="C578" s="3">
        <v>45119</v>
      </c>
      <c r="D578">
        <v>810.97</v>
      </c>
      <c r="E578">
        <v>148194</v>
      </c>
      <c r="F578">
        <v>158214</v>
      </c>
    </row>
    <row r="579" spans="3:6">
      <c r="C579" s="3">
        <v>45118</v>
      </c>
      <c r="D579">
        <v>808.41</v>
      </c>
      <c r="E579">
        <v>153133</v>
      </c>
      <c r="F579">
        <v>163005</v>
      </c>
    </row>
    <row r="580" spans="3:6">
      <c r="C580" s="3">
        <v>45117</v>
      </c>
      <c r="D580">
        <v>802.38</v>
      </c>
      <c r="E580">
        <v>151615</v>
      </c>
      <c r="F580">
        <v>170326</v>
      </c>
    </row>
    <row r="581" spans="3:6">
      <c r="C581" s="3">
        <v>45114</v>
      </c>
      <c r="D581">
        <v>793.79</v>
      </c>
      <c r="E581">
        <v>145460</v>
      </c>
      <c r="F581">
        <v>171905</v>
      </c>
    </row>
    <row r="582" spans="3:6">
      <c r="C582" s="3">
        <v>45113</v>
      </c>
      <c r="D582">
        <v>782.4</v>
      </c>
      <c r="E582">
        <v>174988</v>
      </c>
      <c r="F582">
        <v>175288</v>
      </c>
    </row>
    <row r="583" spans="3:6">
      <c r="C583" s="3">
        <v>45112</v>
      </c>
      <c r="D583">
        <v>791.97</v>
      </c>
      <c r="E583">
        <v>109911</v>
      </c>
      <c r="F583">
        <v>177068</v>
      </c>
    </row>
    <row r="584" spans="3:6">
      <c r="C584" s="3">
        <v>45110</v>
      </c>
      <c r="D584">
        <v>795</v>
      </c>
      <c r="E584">
        <v>69556</v>
      </c>
      <c r="F584">
        <v>180031</v>
      </c>
    </row>
    <row r="585" spans="3:6">
      <c r="C585" s="3">
        <v>45107</v>
      </c>
      <c r="D585">
        <v>809.21</v>
      </c>
      <c r="E585">
        <v>164309</v>
      </c>
      <c r="F585">
        <v>190908</v>
      </c>
    </row>
    <row r="586" spans="3:6">
      <c r="C586" s="3">
        <v>45106</v>
      </c>
      <c r="D586">
        <v>796.54</v>
      </c>
      <c r="E586">
        <v>104408</v>
      </c>
      <c r="F586">
        <v>194399</v>
      </c>
    </row>
    <row r="587" spans="3:6">
      <c r="C587" s="3">
        <v>45105</v>
      </c>
      <c r="D587">
        <v>787.84</v>
      </c>
      <c r="E587">
        <v>153801</v>
      </c>
      <c r="F587">
        <v>212432</v>
      </c>
    </row>
    <row r="588" spans="3:6">
      <c r="C588" s="3">
        <v>45104</v>
      </c>
      <c r="D588">
        <v>775.54</v>
      </c>
      <c r="E588">
        <v>228815</v>
      </c>
      <c r="F588">
        <v>212524</v>
      </c>
    </row>
    <row r="589" spans="3:6">
      <c r="C589" s="3">
        <v>45103</v>
      </c>
      <c r="D589">
        <v>768.48</v>
      </c>
      <c r="E589">
        <v>125651</v>
      </c>
      <c r="F589">
        <v>204241</v>
      </c>
    </row>
    <row r="590" spans="3:6">
      <c r="C590" s="3">
        <v>45100</v>
      </c>
      <c r="D590">
        <v>776.05</v>
      </c>
      <c r="E590">
        <v>326104</v>
      </c>
      <c r="F590">
        <v>207655</v>
      </c>
    </row>
    <row r="591" spans="3:6">
      <c r="C591" s="3">
        <v>45099</v>
      </c>
      <c r="D591">
        <v>786.85</v>
      </c>
      <c r="E591">
        <v>130075</v>
      </c>
      <c r="F591">
        <v>199832</v>
      </c>
    </row>
    <row r="592" spans="3:6">
      <c r="C592" s="3">
        <v>45098</v>
      </c>
      <c r="D592">
        <v>790.5</v>
      </c>
      <c r="E592">
        <v>187186</v>
      </c>
      <c r="F592">
        <v>218457</v>
      </c>
    </row>
    <row r="593" spans="3:6">
      <c r="C593" s="3">
        <v>45097</v>
      </c>
      <c r="D593">
        <v>795.54</v>
      </c>
      <c r="E593">
        <v>220065</v>
      </c>
      <c r="F593">
        <v>218445</v>
      </c>
    </row>
    <row r="594" spans="3:6">
      <c r="C594" s="3">
        <v>45093</v>
      </c>
      <c r="D594">
        <v>799.96</v>
      </c>
      <c r="E594">
        <v>262951</v>
      </c>
      <c r="F594">
        <v>217851</v>
      </c>
    </row>
    <row r="595" spans="3:6">
      <c r="C595" s="3">
        <v>45092</v>
      </c>
      <c r="D595">
        <v>802.11</v>
      </c>
      <c r="E595">
        <v>175296</v>
      </c>
      <c r="F595">
        <v>209961</v>
      </c>
    </row>
    <row r="596" spans="3:6">
      <c r="C596" s="3">
        <v>45091</v>
      </c>
      <c r="D596">
        <v>795.25</v>
      </c>
      <c r="E596">
        <v>196205</v>
      </c>
      <c r="F596">
        <v>209289</v>
      </c>
    </row>
    <row r="597" spans="3:6">
      <c r="C597" s="3">
        <v>45090</v>
      </c>
      <c r="D597">
        <v>801.58</v>
      </c>
      <c r="E597">
        <v>201692</v>
      </c>
      <c r="F597">
        <v>212612</v>
      </c>
    </row>
    <row r="598" spans="3:6">
      <c r="C598" s="3">
        <v>45089</v>
      </c>
      <c r="D598">
        <v>800.18</v>
      </c>
      <c r="E598">
        <v>154351</v>
      </c>
      <c r="F598">
        <v>214755</v>
      </c>
    </row>
    <row r="599" spans="3:6">
      <c r="C599" s="3">
        <v>45086</v>
      </c>
      <c r="D599">
        <v>774.71</v>
      </c>
      <c r="E599">
        <v>232705</v>
      </c>
      <c r="F599">
        <v>218234</v>
      </c>
    </row>
    <row r="600" spans="3:6">
      <c r="C600" s="3">
        <v>45085</v>
      </c>
      <c r="D600">
        <v>766.69</v>
      </c>
      <c r="E600">
        <v>216687</v>
      </c>
      <c r="F600">
        <v>215982</v>
      </c>
    </row>
    <row r="601" spans="3:6">
      <c r="C601" s="3">
        <v>45084</v>
      </c>
      <c r="D601">
        <v>757.18</v>
      </c>
      <c r="E601">
        <v>374896</v>
      </c>
      <c r="F601">
        <v>213632</v>
      </c>
    </row>
    <row r="602" spans="3:6">
      <c r="C602" s="3">
        <v>45083</v>
      </c>
      <c r="D602">
        <v>789.99</v>
      </c>
      <c r="E602">
        <v>155178</v>
      </c>
      <c r="F602">
        <v>198390</v>
      </c>
    </row>
    <row r="603" spans="3:6">
      <c r="C603" s="3">
        <v>45082</v>
      </c>
      <c r="D603">
        <v>791.6</v>
      </c>
      <c r="E603">
        <v>104567</v>
      </c>
      <c r="F603">
        <v>202165</v>
      </c>
    </row>
    <row r="604" spans="3:6">
      <c r="C604" s="3">
        <v>45079</v>
      </c>
      <c r="D604">
        <v>790.84</v>
      </c>
      <c r="E604">
        <v>176866</v>
      </c>
      <c r="F604">
        <v>215562</v>
      </c>
    </row>
    <row r="605" spans="3:6">
      <c r="C605" s="3">
        <v>45078</v>
      </c>
      <c r="D605">
        <v>793.24</v>
      </c>
      <c r="E605">
        <v>208759</v>
      </c>
      <c r="F605">
        <v>216951</v>
      </c>
    </row>
    <row r="606" spans="3:6">
      <c r="C606" s="3">
        <v>45077</v>
      </c>
      <c r="D606">
        <v>787.67</v>
      </c>
      <c r="E606">
        <v>409446</v>
      </c>
      <c r="F606">
        <v>214499</v>
      </c>
    </row>
    <row r="607" spans="3:6">
      <c r="C607" s="3">
        <v>45076</v>
      </c>
      <c r="D607">
        <v>790.41</v>
      </c>
      <c r="E607">
        <v>187004</v>
      </c>
      <c r="F607">
        <v>197776</v>
      </c>
    </row>
    <row r="608" spans="3:6">
      <c r="C608" s="3">
        <v>45072</v>
      </c>
      <c r="D608">
        <v>791.62</v>
      </c>
      <c r="E608">
        <v>211157</v>
      </c>
      <c r="F608">
        <v>198306</v>
      </c>
    </row>
    <row r="609" spans="3:6">
      <c r="C609" s="3">
        <v>45071</v>
      </c>
      <c r="D609">
        <v>772.13</v>
      </c>
      <c r="E609">
        <v>144603</v>
      </c>
      <c r="F609">
        <v>194113</v>
      </c>
    </row>
    <row r="610" spans="3:6">
      <c r="C610" s="3">
        <v>45070</v>
      </c>
      <c r="D610">
        <v>765.21</v>
      </c>
      <c r="E610">
        <v>165223</v>
      </c>
      <c r="F610">
        <v>198349</v>
      </c>
    </row>
    <row r="611" spans="3:6">
      <c r="C611" s="3">
        <v>45069</v>
      </c>
      <c r="D611">
        <v>760.21</v>
      </c>
      <c r="E611">
        <v>246039</v>
      </c>
      <c r="F611">
        <v>205544</v>
      </c>
    </row>
    <row r="612" spans="3:6">
      <c r="C612" s="3">
        <v>45068</v>
      </c>
      <c r="D612">
        <v>776.73</v>
      </c>
      <c r="E612">
        <v>233848</v>
      </c>
      <c r="F612">
        <v>205911</v>
      </c>
    </row>
    <row r="613" spans="3:6">
      <c r="C613" s="3">
        <v>45065</v>
      </c>
      <c r="D613">
        <v>755.79</v>
      </c>
      <c r="E613">
        <v>206532</v>
      </c>
      <c r="F613">
        <v>206239</v>
      </c>
    </row>
    <row r="614" spans="3:6">
      <c r="C614" s="3">
        <v>45064</v>
      </c>
      <c r="D614">
        <v>765.94</v>
      </c>
      <c r="E614">
        <v>198924</v>
      </c>
      <c r="F614">
        <v>219961</v>
      </c>
    </row>
    <row r="615" spans="3:6">
      <c r="C615" s="3">
        <v>45063</v>
      </c>
      <c r="D615">
        <v>749.21</v>
      </c>
      <c r="E615">
        <v>181442</v>
      </c>
      <c r="F615">
        <v>223446</v>
      </c>
    </row>
    <row r="616" spans="3:6">
      <c r="C616" s="3">
        <v>45062</v>
      </c>
      <c r="D616">
        <v>754.13</v>
      </c>
      <c r="E616">
        <v>146257</v>
      </c>
      <c r="F616">
        <v>231883</v>
      </c>
    </row>
    <row r="617" spans="3:6">
      <c r="C617" s="3">
        <v>45061</v>
      </c>
      <c r="D617">
        <v>756.14</v>
      </c>
      <c r="E617">
        <v>211815</v>
      </c>
      <c r="F617">
        <v>236789</v>
      </c>
    </row>
    <row r="618" spans="3:6">
      <c r="C618" s="3">
        <v>45058</v>
      </c>
      <c r="D618">
        <v>743.83</v>
      </c>
      <c r="E618">
        <v>305512</v>
      </c>
      <c r="F618">
        <v>238161</v>
      </c>
    </row>
    <row r="619" spans="3:6">
      <c r="C619" s="3">
        <v>45057</v>
      </c>
      <c r="D619">
        <v>749.29</v>
      </c>
      <c r="E619">
        <v>197706</v>
      </c>
      <c r="F619">
        <v>238155</v>
      </c>
    </row>
    <row r="620" spans="3:6">
      <c r="C620" s="3">
        <v>45056</v>
      </c>
      <c r="D620">
        <v>757.9</v>
      </c>
      <c r="E620">
        <v>171972</v>
      </c>
      <c r="F620">
        <v>239440</v>
      </c>
    </row>
    <row r="621" spans="3:6">
      <c r="C621" s="3">
        <v>45055</v>
      </c>
      <c r="D621">
        <v>737.24</v>
      </c>
      <c r="E621">
        <v>158601</v>
      </c>
      <c r="F621">
        <v>240779</v>
      </c>
    </row>
    <row r="622" spans="3:6">
      <c r="C622" s="3">
        <v>45054</v>
      </c>
      <c r="D622">
        <v>736.41</v>
      </c>
      <c r="E622">
        <v>194955</v>
      </c>
      <c r="F622">
        <v>239278</v>
      </c>
    </row>
    <row r="623" spans="3:6">
      <c r="C623" s="3">
        <v>45051</v>
      </c>
      <c r="D623">
        <v>731.98</v>
      </c>
      <c r="E623">
        <v>148264</v>
      </c>
      <c r="F623">
        <v>233967</v>
      </c>
    </row>
    <row r="624" spans="3:6">
      <c r="C624" s="3">
        <v>45050</v>
      </c>
      <c r="D624">
        <v>736.65</v>
      </c>
      <c r="E624">
        <v>208150</v>
      </c>
      <c r="F624">
        <v>232968</v>
      </c>
    </row>
    <row r="625" spans="3:6">
      <c r="C625" s="3">
        <v>45049</v>
      </c>
      <c r="D625">
        <v>752.39</v>
      </c>
      <c r="E625">
        <v>273140</v>
      </c>
      <c r="F625">
        <v>227526</v>
      </c>
    </row>
    <row r="626" spans="3:6">
      <c r="C626" s="3">
        <v>45048</v>
      </c>
      <c r="D626">
        <v>739.71</v>
      </c>
      <c r="E626">
        <v>251551</v>
      </c>
      <c r="F626">
        <v>216226</v>
      </c>
    </row>
    <row r="627" spans="3:6">
      <c r="C627" s="3">
        <v>45047</v>
      </c>
      <c r="D627">
        <v>745.99</v>
      </c>
      <c r="E627">
        <v>238770</v>
      </c>
      <c r="F627">
        <v>210632</v>
      </c>
    </row>
    <row r="628" spans="3:6">
      <c r="C628" s="3">
        <v>45044</v>
      </c>
      <c r="D628">
        <v>727.95</v>
      </c>
      <c r="E628">
        <v>412358</v>
      </c>
      <c r="F628">
        <v>203370</v>
      </c>
    </row>
    <row r="629" spans="3:6">
      <c r="C629" s="3">
        <v>45043</v>
      </c>
      <c r="D629">
        <v>734.68</v>
      </c>
      <c r="E629">
        <v>251190</v>
      </c>
      <c r="F629">
        <v>184386</v>
      </c>
    </row>
    <row r="630" spans="3:6">
      <c r="C630" s="3">
        <v>45042</v>
      </c>
      <c r="D630">
        <v>714.36</v>
      </c>
      <c r="E630">
        <v>308008</v>
      </c>
      <c r="F630">
        <v>174474</v>
      </c>
    </row>
    <row r="631" spans="3:6">
      <c r="C631" s="3">
        <v>45041</v>
      </c>
      <c r="D631">
        <v>709.52</v>
      </c>
      <c r="E631">
        <v>219849</v>
      </c>
      <c r="F631">
        <v>173304</v>
      </c>
    </row>
    <row r="632" spans="3:6">
      <c r="C632" s="3">
        <v>45040</v>
      </c>
      <c r="D632">
        <v>713.56</v>
      </c>
      <c r="E632">
        <v>232383</v>
      </c>
      <c r="F632">
        <v>173713</v>
      </c>
    </row>
    <row r="633" spans="3:6">
      <c r="C633" s="3">
        <v>45037</v>
      </c>
      <c r="D633">
        <v>719.23</v>
      </c>
      <c r="E633">
        <v>305426</v>
      </c>
      <c r="F633">
        <v>182488</v>
      </c>
    </row>
    <row r="634" spans="3:6">
      <c r="C634" s="3">
        <v>45036</v>
      </c>
      <c r="D634">
        <v>703.44</v>
      </c>
      <c r="E634">
        <v>216989</v>
      </c>
      <c r="F634">
        <v>169360</v>
      </c>
    </row>
    <row r="635" spans="3:6">
      <c r="C635" s="3">
        <v>45035</v>
      </c>
      <c r="D635">
        <v>695.31</v>
      </c>
      <c r="E635">
        <v>192053</v>
      </c>
      <c r="F635">
        <v>165492</v>
      </c>
    </row>
    <row r="636" spans="3:6">
      <c r="C636" s="3">
        <v>45034</v>
      </c>
      <c r="D636">
        <v>697.37</v>
      </c>
      <c r="E636">
        <v>136083</v>
      </c>
      <c r="F636">
        <v>164698</v>
      </c>
    </row>
    <row r="637" spans="3:6">
      <c r="C637" s="3">
        <v>45033</v>
      </c>
      <c r="D637">
        <v>696.47</v>
      </c>
      <c r="E637">
        <v>115291</v>
      </c>
      <c r="F637">
        <v>169985</v>
      </c>
    </row>
    <row r="638" spans="3:6">
      <c r="C638" s="3">
        <v>45030</v>
      </c>
      <c r="D638">
        <v>698.06</v>
      </c>
      <c r="E638">
        <v>133272</v>
      </c>
      <c r="F638">
        <v>171003</v>
      </c>
    </row>
    <row r="639" spans="3:6">
      <c r="C639" s="3">
        <v>45029</v>
      </c>
      <c r="D639">
        <v>698.78</v>
      </c>
      <c r="E639">
        <v>126523</v>
      </c>
      <c r="F639">
        <v>176695</v>
      </c>
    </row>
    <row r="640" spans="3:6">
      <c r="C640" s="3">
        <v>45028</v>
      </c>
      <c r="D640">
        <v>684.43</v>
      </c>
      <c r="E640">
        <v>103639</v>
      </c>
      <c r="F640">
        <v>182747</v>
      </c>
    </row>
    <row r="641" spans="3:6">
      <c r="C641" s="3">
        <v>45027</v>
      </c>
      <c r="D641">
        <v>678.96</v>
      </c>
      <c r="E641">
        <v>167650</v>
      </c>
      <c r="F641">
        <v>192274</v>
      </c>
    </row>
    <row r="642" spans="3:6">
      <c r="C642" s="3">
        <v>45026</v>
      </c>
      <c r="D642">
        <v>679.57</v>
      </c>
      <c r="E642">
        <v>129836</v>
      </c>
      <c r="F642">
        <v>201731</v>
      </c>
    </row>
    <row r="643" spans="3:6">
      <c r="C643" s="3">
        <v>45022</v>
      </c>
      <c r="D643">
        <v>672.42</v>
      </c>
      <c r="E643">
        <v>127596</v>
      </c>
      <c r="F643">
        <v>536411</v>
      </c>
    </row>
    <row r="644" spans="3:6">
      <c r="C644" s="3">
        <v>45021</v>
      </c>
      <c r="D644">
        <v>676.62</v>
      </c>
      <c r="E644">
        <v>102508</v>
      </c>
      <c r="F644">
        <v>548884</v>
      </c>
    </row>
    <row r="645" spans="3:6">
      <c r="C645" s="3">
        <v>45020</v>
      </c>
      <c r="D645">
        <v>689.29</v>
      </c>
      <c r="E645">
        <v>290461</v>
      </c>
      <c r="F645">
        <v>563514</v>
      </c>
    </row>
    <row r="646" spans="3:6">
      <c r="C646" s="3">
        <v>45019</v>
      </c>
      <c r="D646">
        <v>689.84</v>
      </c>
      <c r="E646">
        <v>225989</v>
      </c>
      <c r="F646">
        <v>566179</v>
      </c>
    </row>
    <row r="647" spans="3:6">
      <c r="C647" s="3">
        <v>45016</v>
      </c>
      <c r="D647">
        <v>702.69</v>
      </c>
      <c r="E647">
        <v>364009</v>
      </c>
      <c r="F647">
        <v>583539</v>
      </c>
    </row>
    <row r="648" spans="3:6">
      <c r="C648" s="3">
        <v>45015</v>
      </c>
      <c r="D648">
        <v>696.4</v>
      </c>
      <c r="E648">
        <v>108508</v>
      </c>
      <c r="F648">
        <v>575087</v>
      </c>
    </row>
    <row r="649" spans="3:6">
      <c r="C649" s="3">
        <v>45014</v>
      </c>
      <c r="D649">
        <v>698.13</v>
      </c>
      <c r="E649">
        <v>158964</v>
      </c>
      <c r="F649">
        <v>585570</v>
      </c>
    </row>
    <row r="650" spans="3:6">
      <c r="C650" s="3">
        <v>45013</v>
      </c>
      <c r="D650">
        <v>679.52</v>
      </c>
      <c r="E650">
        <v>180143</v>
      </c>
      <c r="F650">
        <v>587802</v>
      </c>
    </row>
    <row r="651" spans="3:6">
      <c r="C651" s="3">
        <v>45012</v>
      </c>
      <c r="D651">
        <v>688.63</v>
      </c>
      <c r="E651">
        <v>215383</v>
      </c>
      <c r="F651">
        <v>588125</v>
      </c>
    </row>
    <row r="652" spans="3:6">
      <c r="C652" s="3">
        <v>45009</v>
      </c>
      <c r="D652">
        <v>690.94</v>
      </c>
      <c r="E652">
        <v>130569</v>
      </c>
      <c r="F652">
        <v>592361</v>
      </c>
    </row>
    <row r="653" spans="3:6">
      <c r="C653" s="3">
        <v>45008</v>
      </c>
      <c r="D653">
        <v>680.85</v>
      </c>
      <c r="E653">
        <v>218650</v>
      </c>
      <c r="F653">
        <v>595134</v>
      </c>
    </row>
    <row r="654" spans="3:6">
      <c r="C654" s="3">
        <v>45007</v>
      </c>
      <c r="D654">
        <v>678.7</v>
      </c>
      <c r="E654">
        <v>217294</v>
      </c>
      <c r="F654">
        <v>587300</v>
      </c>
    </row>
    <row r="655" spans="3:6">
      <c r="C655" s="3">
        <v>45006</v>
      </c>
      <c r="D655">
        <v>696.88</v>
      </c>
      <c r="E655">
        <v>246547</v>
      </c>
      <c r="F655">
        <v>585759</v>
      </c>
    </row>
    <row r="656" spans="3:6">
      <c r="C656" s="3">
        <v>45005</v>
      </c>
      <c r="D656">
        <v>682.55</v>
      </c>
      <c r="E656">
        <v>309508</v>
      </c>
      <c r="F656">
        <v>588841</v>
      </c>
    </row>
    <row r="657" spans="3:6">
      <c r="C657" s="3">
        <v>45002</v>
      </c>
      <c r="D657">
        <v>654.94000000000005</v>
      </c>
      <c r="E657">
        <v>5150036</v>
      </c>
      <c r="F657">
        <v>576168</v>
      </c>
    </row>
    <row r="658" spans="3:6">
      <c r="C658" s="3">
        <v>45001</v>
      </c>
      <c r="D658">
        <v>679.97</v>
      </c>
      <c r="E658">
        <v>314687</v>
      </c>
      <c r="F658">
        <v>239505</v>
      </c>
    </row>
    <row r="659" spans="3:6">
      <c r="C659" s="3">
        <v>45000</v>
      </c>
      <c r="D659">
        <v>668.3</v>
      </c>
      <c r="E659">
        <v>321960</v>
      </c>
      <c r="F659">
        <v>224822</v>
      </c>
    </row>
    <row r="660" spans="3:6">
      <c r="C660" s="3">
        <v>44999</v>
      </c>
      <c r="D660">
        <v>696.89</v>
      </c>
      <c r="E660">
        <v>330437</v>
      </c>
      <c r="F660">
        <v>214684</v>
      </c>
    </row>
    <row r="661" spans="3:6">
      <c r="C661" s="3">
        <v>44998</v>
      </c>
      <c r="D661">
        <v>682.89</v>
      </c>
      <c r="E661">
        <v>486387</v>
      </c>
      <c r="F661">
        <v>206893</v>
      </c>
    </row>
    <row r="662" spans="3:6">
      <c r="C662" s="3">
        <v>44995</v>
      </c>
      <c r="D662">
        <v>695.76</v>
      </c>
      <c r="E662">
        <v>237226</v>
      </c>
      <c r="F662">
        <v>188294</v>
      </c>
    </row>
    <row r="663" spans="3:6">
      <c r="C663" s="3">
        <v>44994</v>
      </c>
      <c r="D663">
        <v>696.43</v>
      </c>
      <c r="E663">
        <v>265761</v>
      </c>
      <c r="F663">
        <v>182911</v>
      </c>
    </row>
    <row r="664" spans="3:6">
      <c r="C664" s="3">
        <v>44993</v>
      </c>
      <c r="D664">
        <v>700.54</v>
      </c>
      <c r="E664">
        <v>192444</v>
      </c>
      <c r="F664">
        <v>177306</v>
      </c>
    </row>
    <row r="665" spans="3:6">
      <c r="C665" s="3">
        <v>44992</v>
      </c>
      <c r="D665">
        <v>701.73</v>
      </c>
      <c r="E665">
        <v>184989</v>
      </c>
      <c r="F665">
        <v>177252</v>
      </c>
    </row>
    <row r="666" spans="3:6">
      <c r="C666" s="3">
        <v>44991</v>
      </c>
      <c r="D666">
        <v>696.58</v>
      </c>
      <c r="E666">
        <v>278913</v>
      </c>
      <c r="F666">
        <v>177562</v>
      </c>
    </row>
    <row r="667" spans="3:6">
      <c r="C667" s="3">
        <v>44988</v>
      </c>
      <c r="D667">
        <v>705.23</v>
      </c>
      <c r="E667">
        <v>172176</v>
      </c>
      <c r="F667">
        <v>170706</v>
      </c>
    </row>
    <row r="668" spans="3:6">
      <c r="C668" s="3">
        <v>44987</v>
      </c>
      <c r="D668">
        <v>687.52</v>
      </c>
      <c r="E668">
        <v>101132</v>
      </c>
      <c r="F668">
        <v>175520</v>
      </c>
    </row>
    <row r="669" spans="3:6">
      <c r="C669" s="3">
        <v>44986</v>
      </c>
      <c r="D669">
        <v>682.79</v>
      </c>
      <c r="E669">
        <v>194182</v>
      </c>
      <c r="F669">
        <v>183257</v>
      </c>
    </row>
    <row r="670" spans="3:6">
      <c r="C670" s="3">
        <v>44985</v>
      </c>
      <c r="D670">
        <v>677.39</v>
      </c>
      <c r="E670">
        <v>292775</v>
      </c>
      <c r="F670">
        <v>181145</v>
      </c>
    </row>
    <row r="671" spans="3:6">
      <c r="C671" s="3">
        <v>44984</v>
      </c>
      <c r="D671">
        <v>670.41</v>
      </c>
      <c r="E671">
        <v>119411</v>
      </c>
      <c r="F671">
        <v>172947</v>
      </c>
    </row>
    <row r="672" spans="3:6">
      <c r="C672" s="3">
        <v>44981</v>
      </c>
      <c r="D672">
        <v>665.94</v>
      </c>
      <c r="E672">
        <v>100101</v>
      </c>
      <c r="F672">
        <v>178979</v>
      </c>
    </row>
    <row r="673" spans="3:6">
      <c r="C673" s="3">
        <v>44980</v>
      </c>
      <c r="D673">
        <v>671.67</v>
      </c>
      <c r="E673">
        <v>94431</v>
      </c>
      <c r="F673">
        <v>186611</v>
      </c>
    </row>
    <row r="674" spans="3:6">
      <c r="C674" s="3">
        <v>44979</v>
      </c>
      <c r="D674">
        <v>663.48</v>
      </c>
      <c r="E674">
        <v>169895</v>
      </c>
      <c r="F674">
        <v>193940</v>
      </c>
    </row>
    <row r="675" spans="3:6">
      <c r="C675" s="3">
        <v>44978</v>
      </c>
      <c r="D675">
        <v>665</v>
      </c>
      <c r="E675">
        <v>213572</v>
      </c>
      <c r="F675">
        <v>201683</v>
      </c>
    </row>
    <row r="676" spans="3:6">
      <c r="C676" s="3">
        <v>44974</v>
      </c>
      <c r="D676">
        <v>682.19</v>
      </c>
      <c r="E676">
        <v>207399</v>
      </c>
      <c r="F676">
        <v>199845</v>
      </c>
    </row>
    <row r="677" spans="3:6">
      <c r="C677" s="3">
        <v>44973</v>
      </c>
      <c r="D677">
        <v>687.8</v>
      </c>
      <c r="E677">
        <v>156479</v>
      </c>
      <c r="F677">
        <v>207180</v>
      </c>
    </row>
    <row r="678" spans="3:6">
      <c r="C678" s="3">
        <v>44972</v>
      </c>
      <c r="D678">
        <v>698.94</v>
      </c>
      <c r="E678">
        <v>181689</v>
      </c>
      <c r="F678">
        <v>211916</v>
      </c>
    </row>
    <row r="679" spans="3:6">
      <c r="C679" s="3">
        <v>44971</v>
      </c>
      <c r="D679">
        <v>698.06</v>
      </c>
      <c r="E679">
        <v>191637</v>
      </c>
      <c r="F679">
        <v>212386</v>
      </c>
    </row>
    <row r="680" spans="3:6">
      <c r="C680" s="3">
        <v>44970</v>
      </c>
      <c r="D680">
        <v>694.24</v>
      </c>
      <c r="E680">
        <v>189645</v>
      </c>
      <c r="F680">
        <v>215846</v>
      </c>
    </row>
    <row r="681" spans="3:6">
      <c r="C681" s="3">
        <v>44967</v>
      </c>
      <c r="D681">
        <v>679.73</v>
      </c>
      <c r="E681">
        <v>176071</v>
      </c>
      <c r="F681">
        <v>217722</v>
      </c>
    </row>
    <row r="682" spans="3:6">
      <c r="C682" s="3">
        <v>44966</v>
      </c>
      <c r="D682">
        <v>677.74</v>
      </c>
      <c r="E682">
        <v>244374</v>
      </c>
      <c r="F682">
        <v>219298</v>
      </c>
    </row>
    <row r="683" spans="3:6">
      <c r="C683" s="3">
        <v>44965</v>
      </c>
      <c r="D683">
        <v>676.85</v>
      </c>
      <c r="E683">
        <v>217192</v>
      </c>
      <c r="F683">
        <v>214911</v>
      </c>
    </row>
    <row r="684" spans="3:6">
      <c r="C684" s="3">
        <v>44964</v>
      </c>
      <c r="D684">
        <v>677.53</v>
      </c>
      <c r="E684">
        <v>162509</v>
      </c>
      <c r="F684">
        <v>214568</v>
      </c>
    </row>
    <row r="685" spans="3:6">
      <c r="C685" s="3">
        <v>44963</v>
      </c>
      <c r="D685">
        <v>673.45</v>
      </c>
      <c r="E685">
        <v>169793</v>
      </c>
      <c r="F685">
        <v>214494</v>
      </c>
    </row>
    <row r="686" spans="3:6">
      <c r="C686" s="3">
        <v>44960</v>
      </c>
      <c r="D686">
        <v>681.32</v>
      </c>
      <c r="E686">
        <v>209905</v>
      </c>
      <c r="F686">
        <v>211774</v>
      </c>
    </row>
    <row r="687" spans="3:6">
      <c r="C687" s="3">
        <v>44959</v>
      </c>
      <c r="D687">
        <v>690.32</v>
      </c>
      <c r="E687">
        <v>214570</v>
      </c>
      <c r="F687">
        <v>208704</v>
      </c>
    </row>
    <row r="688" spans="3:6">
      <c r="C688" s="3">
        <v>44958</v>
      </c>
      <c r="D688">
        <v>682.68</v>
      </c>
      <c r="E688">
        <v>204363</v>
      </c>
      <c r="F688">
        <v>205625</v>
      </c>
    </row>
    <row r="689" spans="3:6">
      <c r="C689" s="3">
        <v>44957</v>
      </c>
      <c r="D689">
        <v>665.95</v>
      </c>
      <c r="E689">
        <v>286040</v>
      </c>
      <c r="F689">
        <v>208869</v>
      </c>
    </row>
    <row r="690" spans="3:6">
      <c r="C690" s="3">
        <v>44956</v>
      </c>
      <c r="D690">
        <v>644.28</v>
      </c>
      <c r="E690">
        <v>186002</v>
      </c>
      <c r="F690">
        <v>202685</v>
      </c>
    </row>
    <row r="691" spans="3:6">
      <c r="C691" s="3">
        <v>44953</v>
      </c>
      <c r="D691">
        <v>660.25</v>
      </c>
      <c r="E691">
        <v>317427</v>
      </c>
      <c r="F691">
        <v>197997</v>
      </c>
    </row>
    <row r="692" spans="3:6">
      <c r="C692" s="3">
        <v>44952</v>
      </c>
      <c r="D692">
        <v>646.04999999999995</v>
      </c>
      <c r="E692">
        <v>227523</v>
      </c>
      <c r="F692">
        <v>186603</v>
      </c>
    </row>
    <row r="693" spans="3:6">
      <c r="C693" s="3">
        <v>44951</v>
      </c>
      <c r="D693">
        <v>642.83000000000004</v>
      </c>
      <c r="E693">
        <v>188732</v>
      </c>
      <c r="F693">
        <v>179257</v>
      </c>
    </row>
    <row r="694" spans="3:6">
      <c r="C694" s="3">
        <v>44950</v>
      </c>
      <c r="D694">
        <v>640.22</v>
      </c>
      <c r="E694">
        <v>243542</v>
      </c>
      <c r="F694">
        <v>177692</v>
      </c>
    </row>
    <row r="695" spans="3:6">
      <c r="C695" s="3">
        <v>44949</v>
      </c>
      <c r="D695">
        <v>649.95000000000005</v>
      </c>
      <c r="E695">
        <v>217787</v>
      </c>
      <c r="F695">
        <v>171672</v>
      </c>
    </row>
    <row r="696" spans="3:6">
      <c r="C696" s="3">
        <v>44946</v>
      </c>
      <c r="D696">
        <v>649.17999999999995</v>
      </c>
      <c r="E696">
        <v>199706</v>
      </c>
      <c r="F696">
        <v>165192</v>
      </c>
    </row>
    <row r="697" spans="3:6">
      <c r="C697" s="3">
        <v>44945</v>
      </c>
      <c r="D697">
        <v>623.86</v>
      </c>
      <c r="E697">
        <v>178572</v>
      </c>
      <c r="F697">
        <v>158053</v>
      </c>
    </row>
    <row r="698" spans="3:6">
      <c r="C698" s="3">
        <v>44944</v>
      </c>
      <c r="D698">
        <v>629.97</v>
      </c>
      <c r="E698">
        <v>212055</v>
      </c>
      <c r="F698">
        <v>152300</v>
      </c>
    </row>
    <row r="699" spans="3:6">
      <c r="C699" s="3">
        <v>44943</v>
      </c>
      <c r="D699">
        <v>627.88</v>
      </c>
      <c r="E699">
        <v>161389</v>
      </c>
      <c r="F699">
        <v>144193</v>
      </c>
    </row>
    <row r="700" spans="3:6">
      <c r="C700" s="3">
        <v>44939</v>
      </c>
      <c r="D700">
        <v>617.91999999999996</v>
      </c>
      <c r="E700">
        <v>128997</v>
      </c>
      <c r="F700">
        <v>141994</v>
      </c>
    </row>
    <row r="701" spans="3:6">
      <c r="C701" s="3">
        <v>44938</v>
      </c>
      <c r="D701">
        <v>605.58000000000004</v>
      </c>
      <c r="E701">
        <v>163850</v>
      </c>
      <c r="F701">
        <v>142264</v>
      </c>
    </row>
    <row r="702" spans="3:6">
      <c r="C702" s="3">
        <v>44937</v>
      </c>
      <c r="D702">
        <v>598.97</v>
      </c>
      <c r="E702">
        <v>168387</v>
      </c>
      <c r="F702">
        <v>140563</v>
      </c>
    </row>
    <row r="703" spans="3:6">
      <c r="C703" s="3">
        <v>44936</v>
      </c>
      <c r="D703">
        <v>585.86</v>
      </c>
      <c r="E703">
        <v>253026</v>
      </c>
      <c r="F703">
        <v>140724</v>
      </c>
    </row>
    <row r="704" spans="3:6">
      <c r="C704" s="3">
        <v>44935</v>
      </c>
      <c r="D704">
        <v>593.87</v>
      </c>
      <c r="E704">
        <v>193283</v>
      </c>
      <c r="F704">
        <v>152367</v>
      </c>
    </row>
    <row r="705" spans="3:6">
      <c r="C705" s="3">
        <v>44932</v>
      </c>
      <c r="D705">
        <v>601.94000000000005</v>
      </c>
      <c r="E705">
        <v>115677</v>
      </c>
      <c r="F705">
        <v>155656</v>
      </c>
    </row>
    <row r="706" spans="3:6">
      <c r="C706" s="3">
        <v>44931</v>
      </c>
      <c r="D706">
        <v>596.9</v>
      </c>
      <c r="E706">
        <v>146516</v>
      </c>
      <c r="F706">
        <v>160862</v>
      </c>
    </row>
    <row r="707" spans="3:6">
      <c r="C707" s="3">
        <v>44930</v>
      </c>
      <c r="D707">
        <v>609.04</v>
      </c>
      <c r="E707">
        <v>117334</v>
      </c>
      <c r="F707">
        <v>166933</v>
      </c>
    </row>
    <row r="708" spans="3:6">
      <c r="C708" s="3">
        <v>44929</v>
      </c>
      <c r="D708">
        <v>591.19000000000005</v>
      </c>
      <c r="E708">
        <v>165263</v>
      </c>
      <c r="F708">
        <v>167137</v>
      </c>
    </row>
    <row r="709" spans="3:6">
      <c r="C709" s="3">
        <v>44925</v>
      </c>
      <c r="D709">
        <v>598.58000000000004</v>
      </c>
      <c r="E709">
        <v>153245</v>
      </c>
      <c r="F709">
        <v>165595</v>
      </c>
    </row>
    <row r="710" spans="3:6">
      <c r="C710" s="3">
        <v>44924</v>
      </c>
      <c r="D710">
        <v>600.9</v>
      </c>
      <c r="E710">
        <v>120581</v>
      </c>
      <c r="F710">
        <v>167340</v>
      </c>
    </row>
    <row r="711" spans="3:6">
      <c r="C711" s="3">
        <v>44923</v>
      </c>
      <c r="D711">
        <v>606.84</v>
      </c>
      <c r="E711">
        <v>92623</v>
      </c>
      <c r="F711">
        <v>168423</v>
      </c>
    </row>
    <row r="712" spans="3:6">
      <c r="C712" s="3">
        <v>44922</v>
      </c>
      <c r="D712">
        <v>614.29999999999995</v>
      </c>
      <c r="E712">
        <v>92277</v>
      </c>
      <c r="F712">
        <v>173870</v>
      </c>
    </row>
    <row r="713" spans="3:6">
      <c r="C713" s="3">
        <v>44918</v>
      </c>
      <c r="D713">
        <v>616.76</v>
      </c>
      <c r="E713">
        <v>90452</v>
      </c>
      <c r="F713">
        <v>179058</v>
      </c>
    </row>
    <row r="714" spans="3:6">
      <c r="C714" s="3">
        <v>44917</v>
      </c>
      <c r="D714">
        <v>614.52</v>
      </c>
      <c r="E714">
        <v>128404</v>
      </c>
      <c r="F714">
        <v>185707</v>
      </c>
    </row>
    <row r="715" spans="3:6">
      <c r="C715" s="3">
        <v>44916</v>
      </c>
      <c r="D715">
        <v>614.20000000000005</v>
      </c>
      <c r="E715">
        <v>133042</v>
      </c>
      <c r="F715">
        <v>197363</v>
      </c>
    </row>
    <row r="716" spans="3:6">
      <c r="C716" s="3">
        <v>44915</v>
      </c>
      <c r="D716">
        <v>591.15</v>
      </c>
      <c r="E716">
        <v>138329</v>
      </c>
      <c r="F716">
        <v>214880</v>
      </c>
    </row>
    <row r="717" spans="3:6">
      <c r="C717" s="3">
        <v>44914</v>
      </c>
      <c r="D717">
        <v>585.65</v>
      </c>
      <c r="E717">
        <v>170815</v>
      </c>
      <c r="F717">
        <v>219967</v>
      </c>
    </row>
    <row r="718" spans="3:6">
      <c r="C718" s="3">
        <v>44911</v>
      </c>
      <c r="D718">
        <v>590.63</v>
      </c>
      <c r="E718">
        <v>427657</v>
      </c>
      <c r="F718">
        <v>221244</v>
      </c>
    </row>
    <row r="719" spans="3:6">
      <c r="C719" s="3">
        <v>44910</v>
      </c>
      <c r="D719">
        <v>598.21</v>
      </c>
      <c r="E719">
        <v>242626</v>
      </c>
      <c r="F719">
        <v>198352</v>
      </c>
    </row>
    <row r="720" spans="3:6">
      <c r="C720" s="3">
        <v>44909</v>
      </c>
      <c r="D720">
        <v>606.67999999999995</v>
      </c>
      <c r="E720">
        <v>193770</v>
      </c>
      <c r="F720">
        <v>194002</v>
      </c>
    </row>
    <row r="721" spans="3:6">
      <c r="C721" s="3">
        <v>44908</v>
      </c>
      <c r="D721">
        <v>620.55999999999995</v>
      </c>
      <c r="E721">
        <v>237578</v>
      </c>
      <c r="F721">
        <v>192748</v>
      </c>
    </row>
    <row r="722" spans="3:6">
      <c r="C722" s="3">
        <v>44907</v>
      </c>
      <c r="D722">
        <v>616.30999999999995</v>
      </c>
      <c r="E722">
        <v>120397</v>
      </c>
      <c r="F722">
        <v>187798</v>
      </c>
    </row>
    <row r="723" spans="3:6">
      <c r="C723" s="3">
        <v>44904</v>
      </c>
      <c r="D723">
        <v>615.45000000000005</v>
      </c>
      <c r="E723">
        <v>142127</v>
      </c>
      <c r="F723">
        <v>199149</v>
      </c>
    </row>
    <row r="724" spans="3:6">
      <c r="C724" s="3">
        <v>44903</v>
      </c>
      <c r="D724">
        <v>624.99</v>
      </c>
      <c r="E724">
        <v>179424</v>
      </c>
      <c r="F724">
        <v>212744</v>
      </c>
    </row>
    <row r="725" spans="3:6">
      <c r="C725" s="3">
        <v>44902</v>
      </c>
      <c r="D725">
        <v>613.5</v>
      </c>
      <c r="E725">
        <v>136825</v>
      </c>
      <c r="F725">
        <v>213749</v>
      </c>
    </row>
    <row r="726" spans="3:6">
      <c r="C726" s="3">
        <v>44901</v>
      </c>
      <c r="D726">
        <v>609.61</v>
      </c>
      <c r="E726">
        <v>174326</v>
      </c>
      <c r="F726">
        <v>222889</v>
      </c>
    </row>
    <row r="727" spans="3:6">
      <c r="C727" s="3">
        <v>44900</v>
      </c>
      <c r="D727">
        <v>612.1</v>
      </c>
      <c r="E727">
        <v>170105</v>
      </c>
      <c r="F727">
        <v>235809</v>
      </c>
    </row>
    <row r="728" spans="3:6">
      <c r="C728" s="3">
        <v>44897</v>
      </c>
      <c r="D728">
        <v>621.32000000000005</v>
      </c>
      <c r="E728">
        <v>190173</v>
      </c>
      <c r="F728">
        <v>256181</v>
      </c>
    </row>
    <row r="729" spans="3:6">
      <c r="C729" s="3">
        <v>44896</v>
      </c>
      <c r="D729">
        <v>621.14</v>
      </c>
      <c r="E729">
        <v>303258</v>
      </c>
      <c r="F729">
        <v>299810</v>
      </c>
    </row>
    <row r="730" spans="3:6">
      <c r="C730" s="3">
        <v>44895</v>
      </c>
      <c r="D730">
        <v>619.72</v>
      </c>
      <c r="E730">
        <v>395794</v>
      </c>
      <c r="F730">
        <v>293022</v>
      </c>
    </row>
    <row r="731" spans="3:6">
      <c r="C731" s="3">
        <v>44894</v>
      </c>
      <c r="D731">
        <v>590.74</v>
      </c>
      <c r="E731">
        <v>214628</v>
      </c>
      <c r="F731">
        <v>287388</v>
      </c>
    </row>
    <row r="732" spans="3:6">
      <c r="C732" s="3">
        <v>44893</v>
      </c>
      <c r="D732">
        <v>587.67999999999995</v>
      </c>
      <c r="E732">
        <v>189969</v>
      </c>
      <c r="F732">
        <v>288221</v>
      </c>
    </row>
    <row r="733" spans="3:6">
      <c r="C733" s="3">
        <v>44890</v>
      </c>
      <c r="D733">
        <v>589.07000000000005</v>
      </c>
      <c r="E733">
        <v>84283</v>
      </c>
      <c r="F733">
        <v>287008</v>
      </c>
    </row>
    <row r="734" spans="3:6">
      <c r="C734" s="3">
        <v>44888</v>
      </c>
      <c r="D734">
        <v>579.29</v>
      </c>
      <c r="E734">
        <v>177371</v>
      </c>
      <c r="F734">
        <v>294674</v>
      </c>
    </row>
    <row r="735" spans="3:6">
      <c r="C735" s="3">
        <v>44887</v>
      </c>
      <c r="D735">
        <v>577.9</v>
      </c>
      <c r="E735">
        <v>174968</v>
      </c>
      <c r="F735">
        <v>299223</v>
      </c>
    </row>
    <row r="736" spans="3:6">
      <c r="C736" s="3">
        <v>44886</v>
      </c>
      <c r="D736">
        <v>581.49</v>
      </c>
      <c r="E736">
        <v>163316</v>
      </c>
      <c r="F736">
        <v>298664</v>
      </c>
    </row>
    <row r="737" spans="3:6">
      <c r="C737" s="3">
        <v>44883</v>
      </c>
      <c r="D737">
        <v>576.20000000000005</v>
      </c>
      <c r="E737">
        <v>290668</v>
      </c>
      <c r="F737">
        <v>305869</v>
      </c>
    </row>
    <row r="738" spans="3:6">
      <c r="C738" s="3">
        <v>44882</v>
      </c>
      <c r="D738">
        <v>586.71</v>
      </c>
      <c r="E738">
        <v>346047</v>
      </c>
      <c r="F738">
        <v>300319</v>
      </c>
    </row>
    <row r="739" spans="3:6">
      <c r="C739" s="3">
        <v>44881</v>
      </c>
      <c r="D739">
        <v>617.87</v>
      </c>
      <c r="E739">
        <v>194510</v>
      </c>
      <c r="F739">
        <v>300710</v>
      </c>
    </row>
    <row r="740" spans="3:6">
      <c r="C740" s="3">
        <v>44880</v>
      </c>
      <c r="D740">
        <v>616.49</v>
      </c>
      <c r="E740">
        <v>273915</v>
      </c>
      <c r="F740">
        <v>305059</v>
      </c>
    </row>
    <row r="741" spans="3:6">
      <c r="C741" s="3">
        <v>44879</v>
      </c>
      <c r="D741">
        <v>592.9</v>
      </c>
      <c r="E741">
        <v>368129</v>
      </c>
      <c r="F741">
        <v>305368</v>
      </c>
    </row>
    <row r="742" spans="3:6">
      <c r="C742" s="3">
        <v>44876</v>
      </c>
      <c r="D742">
        <v>607.57000000000005</v>
      </c>
      <c r="E742">
        <v>475693</v>
      </c>
      <c r="F742">
        <v>293245</v>
      </c>
    </row>
    <row r="743" spans="3:6">
      <c r="C743" s="3">
        <v>44875</v>
      </c>
      <c r="D743">
        <v>581.78</v>
      </c>
      <c r="E743">
        <v>844599</v>
      </c>
      <c r="F743">
        <v>271010</v>
      </c>
    </row>
    <row r="744" spans="3:6">
      <c r="C744" s="3">
        <v>44874</v>
      </c>
      <c r="D744">
        <v>443.77</v>
      </c>
      <c r="E744">
        <v>201447</v>
      </c>
      <c r="F744">
        <v>227370</v>
      </c>
    </row>
    <row r="745" spans="3:6">
      <c r="C745" s="3">
        <v>44873</v>
      </c>
      <c r="D745">
        <v>450.53</v>
      </c>
      <c r="E745">
        <v>311284</v>
      </c>
      <c r="F745">
        <v>230369</v>
      </c>
    </row>
    <row r="746" spans="3:6">
      <c r="C746" s="3">
        <v>44872</v>
      </c>
      <c r="D746">
        <v>436.85</v>
      </c>
      <c r="E746">
        <v>227122</v>
      </c>
      <c r="F746">
        <v>220259</v>
      </c>
    </row>
    <row r="747" spans="3:6">
      <c r="C747" s="3">
        <v>44869</v>
      </c>
      <c r="D747">
        <v>435.35</v>
      </c>
      <c r="E747">
        <v>171772</v>
      </c>
      <c r="F747">
        <v>216014</v>
      </c>
    </row>
    <row r="748" spans="3:6">
      <c r="C748" s="3">
        <v>44868</v>
      </c>
      <c r="D748">
        <v>436.68</v>
      </c>
      <c r="E748">
        <v>199264</v>
      </c>
      <c r="F748">
        <v>214851</v>
      </c>
    </row>
    <row r="749" spans="3:6">
      <c r="C749" s="3">
        <v>44867</v>
      </c>
      <c r="D749">
        <v>447.5</v>
      </c>
      <c r="E749">
        <v>245609</v>
      </c>
      <c r="F749">
        <v>214363</v>
      </c>
    </row>
    <row r="750" spans="3:6">
      <c r="C750" s="3">
        <v>44866</v>
      </c>
      <c r="D750">
        <v>476.12</v>
      </c>
      <c r="E750">
        <v>166583</v>
      </c>
      <c r="F750">
        <v>214733</v>
      </c>
    </row>
    <row r="751" spans="3:6">
      <c r="C751" s="3">
        <v>44865</v>
      </c>
      <c r="D751">
        <v>478.84</v>
      </c>
      <c r="E751">
        <v>271398</v>
      </c>
      <c r="F751">
        <v>226739</v>
      </c>
    </row>
    <row r="752" spans="3:6">
      <c r="C752" s="3">
        <v>44862</v>
      </c>
      <c r="D752">
        <v>485.11</v>
      </c>
      <c r="E752">
        <v>207406</v>
      </c>
      <c r="F752">
        <v>224739</v>
      </c>
    </row>
    <row r="753" spans="3:6">
      <c r="C753" s="3">
        <v>44861</v>
      </c>
      <c r="D753">
        <v>474.57</v>
      </c>
      <c r="E753">
        <v>351922</v>
      </c>
      <c r="F753">
        <v>232760</v>
      </c>
    </row>
    <row r="754" spans="3:6">
      <c r="C754" s="3">
        <v>44860</v>
      </c>
      <c r="D754">
        <v>447.56</v>
      </c>
      <c r="E754">
        <v>259736</v>
      </c>
      <c r="F754">
        <v>229607</v>
      </c>
    </row>
    <row r="755" spans="3:6">
      <c r="C755" s="3">
        <v>44859</v>
      </c>
      <c r="D755">
        <v>432.75</v>
      </c>
      <c r="E755">
        <v>278550</v>
      </c>
      <c r="F755">
        <v>221039</v>
      </c>
    </row>
    <row r="756" spans="3:6">
      <c r="C756" s="3">
        <v>44858</v>
      </c>
      <c r="D756">
        <v>415.88</v>
      </c>
      <c r="E756">
        <v>186292</v>
      </c>
      <c r="F756">
        <v>226173</v>
      </c>
    </row>
    <row r="757" spans="3:6">
      <c r="C757" s="3">
        <v>44855</v>
      </c>
      <c r="D757">
        <v>409.66</v>
      </c>
      <c r="E757">
        <v>142168</v>
      </c>
      <c r="F757">
        <v>228501</v>
      </c>
    </row>
    <row r="758" spans="3:6">
      <c r="C758" s="3">
        <v>44854</v>
      </c>
      <c r="D758">
        <v>408.59</v>
      </c>
      <c r="E758">
        <v>189998</v>
      </c>
      <c r="F758">
        <v>234525</v>
      </c>
    </row>
    <row r="759" spans="3:6">
      <c r="C759" s="3">
        <v>44853</v>
      </c>
      <c r="D759">
        <v>408.95</v>
      </c>
      <c r="E759">
        <v>246427</v>
      </c>
      <c r="F759">
        <v>232404</v>
      </c>
    </row>
    <row r="760" spans="3:6">
      <c r="C760" s="3">
        <v>44852</v>
      </c>
      <c r="D760">
        <v>420.01</v>
      </c>
      <c r="E760">
        <v>159641</v>
      </c>
      <c r="F760">
        <v>225396</v>
      </c>
    </row>
    <row r="761" spans="3:6">
      <c r="C761" s="3">
        <v>44851</v>
      </c>
      <c r="D761">
        <v>409.28</v>
      </c>
      <c r="E761">
        <v>163446</v>
      </c>
      <c r="F761">
        <v>226711</v>
      </c>
    </row>
    <row r="762" spans="3:6">
      <c r="C762" s="3">
        <v>44848</v>
      </c>
      <c r="D762">
        <v>400.41</v>
      </c>
      <c r="E762">
        <v>154330</v>
      </c>
      <c r="F762">
        <v>226552</v>
      </c>
    </row>
    <row r="763" spans="3:6">
      <c r="C763" s="3">
        <v>44847</v>
      </c>
      <c r="D763">
        <v>404.07</v>
      </c>
      <c r="E763">
        <v>191937</v>
      </c>
      <c r="F763">
        <v>229033</v>
      </c>
    </row>
    <row r="764" spans="3:6">
      <c r="C764" s="3">
        <v>44846</v>
      </c>
      <c r="D764">
        <v>405.31</v>
      </c>
      <c r="E764">
        <v>251166</v>
      </c>
      <c r="F764">
        <v>228175</v>
      </c>
    </row>
    <row r="765" spans="3:6">
      <c r="C765" s="3">
        <v>44845</v>
      </c>
      <c r="D765">
        <v>405.73</v>
      </c>
      <c r="E765">
        <v>346662</v>
      </c>
      <c r="F765">
        <v>225495</v>
      </c>
    </row>
    <row r="766" spans="3:6">
      <c r="C766" s="3">
        <v>44844</v>
      </c>
      <c r="D766">
        <v>396.31</v>
      </c>
      <c r="E766">
        <v>241397</v>
      </c>
      <c r="F766">
        <v>225487</v>
      </c>
    </row>
    <row r="767" spans="3:6">
      <c r="C767" s="3">
        <v>44841</v>
      </c>
      <c r="D767">
        <v>402.2</v>
      </c>
      <c r="E767">
        <v>327728</v>
      </c>
      <c r="F767">
        <v>225042</v>
      </c>
    </row>
    <row r="768" spans="3:6">
      <c r="C768" s="3">
        <v>44840</v>
      </c>
      <c r="D768">
        <v>413.82</v>
      </c>
      <c r="E768">
        <v>304626</v>
      </c>
      <c r="F768">
        <v>236286</v>
      </c>
    </row>
    <row r="769" spans="3:6">
      <c r="C769" s="3">
        <v>44839</v>
      </c>
      <c r="D769">
        <v>439.98</v>
      </c>
      <c r="E769">
        <v>131221</v>
      </c>
      <c r="F769">
        <v>236503</v>
      </c>
    </row>
    <row r="770" spans="3:6">
      <c r="C770" s="3">
        <v>44838</v>
      </c>
      <c r="D770">
        <v>441.14</v>
      </c>
      <c r="E770">
        <v>355561</v>
      </c>
      <c r="F770">
        <v>248588</v>
      </c>
    </row>
    <row r="771" spans="3:6">
      <c r="C771" s="3">
        <v>44837</v>
      </c>
      <c r="D771">
        <v>423.91</v>
      </c>
      <c r="E771">
        <v>221212</v>
      </c>
      <c r="F771">
        <v>244574</v>
      </c>
    </row>
    <row r="772" spans="3:6">
      <c r="C772" s="3">
        <v>44834</v>
      </c>
      <c r="D772">
        <v>412.01</v>
      </c>
      <c r="E772">
        <v>232517</v>
      </c>
      <c r="F772">
        <v>244549</v>
      </c>
    </row>
    <row r="773" spans="3:6">
      <c r="C773" s="3">
        <v>44833</v>
      </c>
      <c r="D773">
        <v>424.84</v>
      </c>
      <c r="E773">
        <v>158191</v>
      </c>
      <c r="F773">
        <v>237002</v>
      </c>
    </row>
    <row r="774" spans="3:6">
      <c r="C774" s="3">
        <v>44832</v>
      </c>
      <c r="D774">
        <v>433.03</v>
      </c>
      <c r="E774">
        <v>141307</v>
      </c>
      <c r="F774">
        <v>232419</v>
      </c>
    </row>
    <row r="775" spans="3:6">
      <c r="C775" s="3">
        <v>44831</v>
      </c>
      <c r="D775">
        <v>425.57</v>
      </c>
      <c r="E775">
        <v>179368</v>
      </c>
      <c r="F775">
        <v>230068</v>
      </c>
    </row>
    <row r="776" spans="3:6">
      <c r="C776" s="3">
        <v>44830</v>
      </c>
      <c r="D776">
        <v>428.18</v>
      </c>
      <c r="E776">
        <v>161052</v>
      </c>
      <c r="F776">
        <v>227787</v>
      </c>
    </row>
    <row r="777" spans="3:6">
      <c r="C777" s="3">
        <v>44827</v>
      </c>
      <c r="D777">
        <v>427.91</v>
      </c>
      <c r="E777">
        <v>191552</v>
      </c>
      <c r="F777">
        <v>228077</v>
      </c>
    </row>
    <row r="778" spans="3:6">
      <c r="C778" s="3">
        <v>44826</v>
      </c>
      <c r="D778">
        <v>439.59</v>
      </c>
      <c r="E778">
        <v>179068</v>
      </c>
      <c r="F778">
        <v>226395</v>
      </c>
    </row>
    <row r="779" spans="3:6">
      <c r="C779" s="3">
        <v>44825</v>
      </c>
      <c r="D779">
        <v>449.7</v>
      </c>
      <c r="E779">
        <v>210961</v>
      </c>
      <c r="F779">
        <v>227851</v>
      </c>
    </row>
    <row r="780" spans="3:6">
      <c r="C780" s="3">
        <v>44824</v>
      </c>
      <c r="D780">
        <v>450.07</v>
      </c>
      <c r="E780">
        <v>346548</v>
      </c>
      <c r="F780">
        <v>223734</v>
      </c>
    </row>
    <row r="781" spans="3:6">
      <c r="C781" s="3">
        <v>44823</v>
      </c>
      <c r="D781">
        <v>449.84</v>
      </c>
      <c r="E781">
        <v>234724</v>
      </c>
      <c r="F781">
        <v>208328</v>
      </c>
    </row>
    <row r="782" spans="3:6">
      <c r="C782" s="3">
        <v>44820</v>
      </c>
      <c r="D782">
        <v>465.95</v>
      </c>
      <c r="E782">
        <v>496379</v>
      </c>
      <c r="F782">
        <v>199408</v>
      </c>
    </row>
    <row r="783" spans="3:6">
      <c r="C783" s="3">
        <v>44819</v>
      </c>
      <c r="D783">
        <v>458</v>
      </c>
      <c r="E783">
        <v>307891</v>
      </c>
      <c r="F783">
        <v>171174</v>
      </c>
    </row>
    <row r="784" spans="3:6">
      <c r="C784" s="3">
        <v>44818</v>
      </c>
      <c r="D784">
        <v>463.98</v>
      </c>
      <c r="E784">
        <v>312492</v>
      </c>
      <c r="F784">
        <v>157444</v>
      </c>
    </row>
    <row r="785" spans="3:6">
      <c r="C785" s="3">
        <v>44817</v>
      </c>
      <c r="D785">
        <v>454.33</v>
      </c>
      <c r="E785">
        <v>295351</v>
      </c>
      <c r="F785">
        <v>140967</v>
      </c>
    </row>
    <row r="786" spans="3:6">
      <c r="C786" s="3">
        <v>44816</v>
      </c>
      <c r="D786">
        <v>460.67</v>
      </c>
      <c r="E786">
        <v>220833</v>
      </c>
      <c r="F786">
        <v>129326</v>
      </c>
    </row>
    <row r="787" spans="3:6">
      <c r="C787" s="3">
        <v>44813</v>
      </c>
      <c r="D787">
        <v>451.77</v>
      </c>
      <c r="E787">
        <v>119317</v>
      </c>
      <c r="F787">
        <v>124523</v>
      </c>
    </row>
    <row r="788" spans="3:6">
      <c r="C788" s="3">
        <v>44812</v>
      </c>
      <c r="D788">
        <v>451.61</v>
      </c>
      <c r="E788">
        <v>89443</v>
      </c>
      <c r="F788">
        <v>123949</v>
      </c>
    </row>
    <row r="789" spans="3:6">
      <c r="C789" s="3">
        <v>44811</v>
      </c>
      <c r="D789">
        <v>449.54</v>
      </c>
      <c r="E789">
        <v>106048</v>
      </c>
      <c r="F789">
        <v>124767</v>
      </c>
    </row>
    <row r="790" spans="3:6">
      <c r="C790" s="3">
        <v>44810</v>
      </c>
      <c r="D790">
        <v>441.63</v>
      </c>
      <c r="E790">
        <v>145139</v>
      </c>
      <c r="F790">
        <v>126375</v>
      </c>
    </row>
    <row r="791" spans="3:6">
      <c r="C791" s="3">
        <v>44806</v>
      </c>
      <c r="D791">
        <v>439.78</v>
      </c>
      <c r="E791">
        <v>165408</v>
      </c>
      <c r="F791">
        <v>124369</v>
      </c>
    </row>
    <row r="792" spans="3:6">
      <c r="C792" s="3">
        <v>44805</v>
      </c>
      <c r="D792">
        <v>442.82</v>
      </c>
      <c r="E792">
        <v>166327</v>
      </c>
      <c r="F792">
        <v>118888</v>
      </c>
    </row>
    <row r="793" spans="3:6">
      <c r="C793" s="3">
        <v>44804</v>
      </c>
      <c r="D793">
        <v>449.4</v>
      </c>
      <c r="E793">
        <v>200899</v>
      </c>
      <c r="F793">
        <v>116816</v>
      </c>
    </row>
    <row r="794" spans="3:6">
      <c r="C794" s="3">
        <v>44803</v>
      </c>
      <c r="D794">
        <v>455.83</v>
      </c>
      <c r="E794">
        <v>149217</v>
      </c>
      <c r="F794">
        <v>114794</v>
      </c>
    </row>
    <row r="795" spans="3:6">
      <c r="C795" s="3">
        <v>44802</v>
      </c>
      <c r="D795">
        <v>462.54</v>
      </c>
      <c r="E795">
        <v>115451</v>
      </c>
      <c r="F795">
        <v>115803</v>
      </c>
    </row>
    <row r="796" spans="3:6">
      <c r="C796" s="3">
        <v>44799</v>
      </c>
      <c r="D796">
        <v>476.85</v>
      </c>
      <c r="E796">
        <v>100929</v>
      </c>
      <c r="F796">
        <v>120804</v>
      </c>
    </row>
    <row r="797" spans="3:6">
      <c r="C797" s="3">
        <v>44798</v>
      </c>
      <c r="D797">
        <v>485.58</v>
      </c>
      <c r="E797">
        <v>72870</v>
      </c>
      <c r="F797">
        <v>123445</v>
      </c>
    </row>
    <row r="798" spans="3:6">
      <c r="C798" s="3">
        <v>44797</v>
      </c>
      <c r="D798">
        <v>478.72</v>
      </c>
      <c r="E798">
        <v>101933</v>
      </c>
      <c r="F798">
        <v>134190</v>
      </c>
    </row>
    <row r="799" spans="3:6">
      <c r="C799" s="3">
        <v>44796</v>
      </c>
      <c r="D799">
        <v>476.13</v>
      </c>
      <c r="E799">
        <v>65334</v>
      </c>
      <c r="F799">
        <v>136755</v>
      </c>
    </row>
    <row r="800" spans="3:6">
      <c r="C800" s="3">
        <v>44795</v>
      </c>
      <c r="D800">
        <v>477.92</v>
      </c>
      <c r="E800">
        <v>120744</v>
      </c>
      <c r="F800">
        <v>139226</v>
      </c>
    </row>
    <row r="801" spans="3:6">
      <c r="C801" s="3">
        <v>44792</v>
      </c>
      <c r="D801">
        <v>489.79</v>
      </c>
      <c r="E801">
        <v>148791</v>
      </c>
      <c r="F801">
        <v>138933</v>
      </c>
    </row>
    <row r="802" spans="3:6">
      <c r="C802" s="3">
        <v>44791</v>
      </c>
      <c r="D802">
        <v>497.38</v>
      </c>
      <c r="E802">
        <v>110707</v>
      </c>
      <c r="F802">
        <v>138284</v>
      </c>
    </row>
    <row r="803" spans="3:6">
      <c r="C803" s="3">
        <v>44790</v>
      </c>
      <c r="D803">
        <v>499.18</v>
      </c>
      <c r="E803">
        <v>101713</v>
      </c>
      <c r="F803">
        <v>138613</v>
      </c>
    </row>
    <row r="804" spans="3:6">
      <c r="C804" s="3">
        <v>44789</v>
      </c>
      <c r="D804">
        <v>501.49</v>
      </c>
      <c r="E804">
        <v>130166</v>
      </c>
      <c r="F804">
        <v>147280</v>
      </c>
    </row>
    <row r="805" spans="3:6">
      <c r="C805" s="3">
        <v>44788</v>
      </c>
      <c r="D805">
        <v>489.79</v>
      </c>
      <c r="E805">
        <v>115043</v>
      </c>
      <c r="F805">
        <v>161315</v>
      </c>
    </row>
    <row r="806" spans="3:6">
      <c r="C806" s="3">
        <v>44785</v>
      </c>
      <c r="D806">
        <v>490.75</v>
      </c>
      <c r="E806">
        <v>83200</v>
      </c>
      <c r="F806">
        <v>172640</v>
      </c>
    </row>
    <row r="807" spans="3:6">
      <c r="C807" s="3">
        <v>44784</v>
      </c>
      <c r="D807">
        <v>486.23</v>
      </c>
      <c r="E807">
        <v>135244</v>
      </c>
      <c r="F807">
        <v>173724</v>
      </c>
    </row>
    <row r="808" spans="3:6">
      <c r="C808" s="3">
        <v>44783</v>
      </c>
      <c r="D808">
        <v>501.11</v>
      </c>
      <c r="E808">
        <v>170564</v>
      </c>
      <c r="F808">
        <v>183381</v>
      </c>
    </row>
    <row r="809" spans="3:6">
      <c r="C809" s="3">
        <v>44782</v>
      </c>
      <c r="D809">
        <v>490.58</v>
      </c>
      <c r="E809">
        <v>164361</v>
      </c>
      <c r="F809">
        <v>184881</v>
      </c>
    </row>
    <row r="810" spans="3:6">
      <c r="C810" s="3">
        <v>44781</v>
      </c>
      <c r="D810">
        <v>489.84</v>
      </c>
      <c r="E810">
        <v>190459</v>
      </c>
      <c r="F810">
        <v>185824</v>
      </c>
    </row>
    <row r="811" spans="3:6">
      <c r="C811" s="3">
        <v>44778</v>
      </c>
      <c r="D811">
        <v>482.47</v>
      </c>
      <c r="E811">
        <v>140542</v>
      </c>
      <c r="F811">
        <v>179983</v>
      </c>
    </row>
    <row r="812" spans="3:6">
      <c r="C812" s="3">
        <v>44777</v>
      </c>
      <c r="D812">
        <v>475.4</v>
      </c>
      <c r="E812">
        <v>234042</v>
      </c>
      <c r="F812">
        <v>177985</v>
      </c>
    </row>
    <row r="813" spans="3:6">
      <c r="C813" s="3">
        <v>44776</v>
      </c>
      <c r="D813">
        <v>470.46</v>
      </c>
      <c r="E813">
        <v>140414</v>
      </c>
      <c r="F813">
        <v>170588</v>
      </c>
    </row>
    <row r="814" spans="3:6">
      <c r="C814" s="3">
        <v>44775</v>
      </c>
      <c r="D814">
        <v>462.6</v>
      </c>
      <c r="E814">
        <v>102401</v>
      </c>
      <c r="F814">
        <v>173143</v>
      </c>
    </row>
    <row r="815" spans="3:6">
      <c r="C815" s="3">
        <v>44774</v>
      </c>
      <c r="D815">
        <v>460.7</v>
      </c>
      <c r="E815">
        <v>116347</v>
      </c>
      <c r="F815">
        <v>174396</v>
      </c>
    </row>
    <row r="816" spans="3:6">
      <c r="C816" s="3">
        <v>44771</v>
      </c>
      <c r="D816">
        <v>462.03</v>
      </c>
      <c r="E816">
        <v>139056</v>
      </c>
      <c r="F816">
        <v>174428</v>
      </c>
    </row>
    <row r="817" spans="3:6">
      <c r="C817" s="3">
        <v>44770</v>
      </c>
      <c r="D817">
        <v>456.27</v>
      </c>
      <c r="E817">
        <v>115638</v>
      </c>
      <c r="F817">
        <v>173589</v>
      </c>
    </row>
    <row r="818" spans="3:6">
      <c r="C818" s="3">
        <v>44769</v>
      </c>
      <c r="D818">
        <v>437.67</v>
      </c>
      <c r="E818">
        <v>231722</v>
      </c>
      <c r="F818">
        <v>174560</v>
      </c>
    </row>
    <row r="819" spans="3:6">
      <c r="C819" s="3">
        <v>44768</v>
      </c>
      <c r="D819">
        <v>427.62</v>
      </c>
      <c r="E819">
        <v>340694</v>
      </c>
      <c r="F819">
        <v>169626</v>
      </c>
    </row>
    <row r="820" spans="3:6">
      <c r="C820" s="3">
        <v>44767</v>
      </c>
      <c r="D820">
        <v>469.7</v>
      </c>
      <c r="E820">
        <v>284920</v>
      </c>
      <c r="F820">
        <v>155293</v>
      </c>
    </row>
    <row r="821" spans="3:6">
      <c r="C821" s="3">
        <v>44764</v>
      </c>
      <c r="D821">
        <v>467.65</v>
      </c>
      <c r="E821">
        <v>99456</v>
      </c>
      <c r="F821">
        <v>144244</v>
      </c>
    </row>
    <row r="822" spans="3:6">
      <c r="C822" s="3">
        <v>44763</v>
      </c>
      <c r="D822">
        <v>466.22</v>
      </c>
      <c r="E822">
        <v>280103</v>
      </c>
      <c r="F822">
        <v>149600</v>
      </c>
    </row>
    <row r="823" spans="3:6">
      <c r="C823" s="3">
        <v>44762</v>
      </c>
      <c r="D823">
        <v>450</v>
      </c>
      <c r="E823">
        <v>193058</v>
      </c>
      <c r="F823">
        <v>137262</v>
      </c>
    </row>
    <row r="824" spans="3:6">
      <c r="C824" s="3">
        <v>44761</v>
      </c>
      <c r="D824">
        <v>440.43</v>
      </c>
      <c r="E824">
        <v>178509</v>
      </c>
      <c r="F824">
        <v>132282</v>
      </c>
    </row>
    <row r="825" spans="3:6">
      <c r="C825" s="3">
        <v>44760</v>
      </c>
      <c r="D825">
        <v>425.4</v>
      </c>
      <c r="E825">
        <v>102846</v>
      </c>
      <c r="F825">
        <v>130604</v>
      </c>
    </row>
    <row r="826" spans="3:6">
      <c r="C826" s="3">
        <v>44757</v>
      </c>
      <c r="D826">
        <v>428.3</v>
      </c>
      <c r="E826">
        <v>110566</v>
      </c>
      <c r="F826">
        <v>139152</v>
      </c>
    </row>
    <row r="827" spans="3:6">
      <c r="C827" s="3">
        <v>44756</v>
      </c>
      <c r="D827">
        <v>419.5</v>
      </c>
      <c r="E827">
        <v>123087</v>
      </c>
      <c r="F827">
        <v>141796</v>
      </c>
    </row>
    <row r="828" spans="3:6">
      <c r="C828" s="3">
        <v>44755</v>
      </c>
      <c r="D828">
        <v>416.32</v>
      </c>
      <c r="E828">
        <v>178749</v>
      </c>
      <c r="F828">
        <v>144817</v>
      </c>
    </row>
    <row r="829" spans="3:6">
      <c r="C829" s="3">
        <v>44754</v>
      </c>
      <c r="D829">
        <v>412.13</v>
      </c>
      <c r="E829">
        <v>121182</v>
      </c>
      <c r="F829">
        <v>145658</v>
      </c>
    </row>
    <row r="830" spans="3:6">
      <c r="C830" s="3">
        <v>44753</v>
      </c>
      <c r="D830">
        <v>417.82</v>
      </c>
      <c r="E830">
        <v>116827</v>
      </c>
      <c r="F830">
        <v>163971</v>
      </c>
    </row>
    <row r="831" spans="3:6">
      <c r="C831" s="3">
        <v>44750</v>
      </c>
      <c r="D831">
        <v>418.85</v>
      </c>
      <c r="E831">
        <v>126475</v>
      </c>
      <c r="F831">
        <v>174031</v>
      </c>
    </row>
    <row r="832" spans="3:6">
      <c r="C832" s="3">
        <v>44749</v>
      </c>
      <c r="D832">
        <v>423.61</v>
      </c>
      <c r="E832">
        <v>130209</v>
      </c>
      <c r="F832">
        <v>182491</v>
      </c>
    </row>
    <row r="833" spans="3:6">
      <c r="C833" s="3">
        <v>44748</v>
      </c>
      <c r="D833">
        <v>419</v>
      </c>
      <c r="E833">
        <v>157711</v>
      </c>
      <c r="F833">
        <v>187659</v>
      </c>
    </row>
    <row r="834" spans="3:6">
      <c r="C834" s="3">
        <v>44747</v>
      </c>
      <c r="D834">
        <v>411.33</v>
      </c>
      <c r="E834">
        <v>125695</v>
      </c>
      <c r="F834">
        <v>190477</v>
      </c>
    </row>
    <row r="835" spans="3:6">
      <c r="C835" s="3">
        <v>44743</v>
      </c>
      <c r="D835">
        <v>408.26</v>
      </c>
      <c r="E835">
        <v>119192</v>
      </c>
      <c r="F835">
        <v>196057</v>
      </c>
    </row>
    <row r="836" spans="3:6">
      <c r="C836" s="3">
        <v>44742</v>
      </c>
      <c r="D836">
        <v>400.9</v>
      </c>
      <c r="E836">
        <v>179785</v>
      </c>
      <c r="F836">
        <v>198080</v>
      </c>
    </row>
    <row r="837" spans="3:6">
      <c r="C837" s="3">
        <v>44741</v>
      </c>
      <c r="D837">
        <v>401.06</v>
      </c>
      <c r="E837">
        <v>95033</v>
      </c>
      <c r="F837">
        <v>196161</v>
      </c>
    </row>
    <row r="838" spans="3:6">
      <c r="C838" s="3">
        <v>44740</v>
      </c>
      <c r="D838">
        <v>401.36</v>
      </c>
      <c r="E838">
        <v>118370</v>
      </c>
      <c r="F838">
        <v>199261</v>
      </c>
    </row>
    <row r="839" spans="3:6">
      <c r="C839" s="3">
        <v>44739</v>
      </c>
      <c r="D839">
        <v>415.03</v>
      </c>
      <c r="E839">
        <v>153327</v>
      </c>
      <c r="F839">
        <v>205904</v>
      </c>
    </row>
    <row r="840" spans="3:6">
      <c r="C840" s="3">
        <v>44736</v>
      </c>
      <c r="D840">
        <v>416.15</v>
      </c>
      <c r="E840">
        <v>231066</v>
      </c>
      <c r="F840">
        <v>206355</v>
      </c>
    </row>
    <row r="841" spans="3:6">
      <c r="C841" s="3">
        <v>44735</v>
      </c>
      <c r="D841">
        <v>402.24</v>
      </c>
      <c r="E841">
        <v>150237</v>
      </c>
      <c r="F841">
        <v>209307</v>
      </c>
    </row>
    <row r="842" spans="3:6">
      <c r="C842" s="3">
        <v>44734</v>
      </c>
      <c r="D842">
        <v>386.63</v>
      </c>
      <c r="E842">
        <v>168395</v>
      </c>
      <c r="F842">
        <v>215269</v>
      </c>
    </row>
    <row r="843" spans="3:6">
      <c r="C843" s="3">
        <v>44733</v>
      </c>
      <c r="D843">
        <v>385.01</v>
      </c>
      <c r="E843">
        <v>191364</v>
      </c>
      <c r="F843">
        <v>239045</v>
      </c>
    </row>
    <row r="844" spans="3:6">
      <c r="C844" s="3">
        <v>44729</v>
      </c>
      <c r="D844">
        <v>379.03</v>
      </c>
      <c r="E844">
        <v>395880</v>
      </c>
      <c r="F844">
        <v>243837</v>
      </c>
    </row>
    <row r="845" spans="3:6">
      <c r="C845" s="3">
        <v>44728</v>
      </c>
      <c r="D845">
        <v>374.79</v>
      </c>
      <c r="E845">
        <v>267719</v>
      </c>
      <c r="F845">
        <v>234297</v>
      </c>
    </row>
    <row r="846" spans="3:6">
      <c r="C846" s="3">
        <v>44727</v>
      </c>
      <c r="D846">
        <v>395.8</v>
      </c>
      <c r="E846">
        <v>253381</v>
      </c>
      <c r="F846">
        <v>235415</v>
      </c>
    </row>
    <row r="847" spans="3:6">
      <c r="C847" s="3">
        <v>44726</v>
      </c>
      <c r="D847">
        <v>379.41</v>
      </c>
      <c r="E847">
        <v>207733</v>
      </c>
      <c r="F847">
        <v>238947</v>
      </c>
    </row>
    <row r="848" spans="3:6">
      <c r="C848" s="3">
        <v>44725</v>
      </c>
      <c r="D848">
        <v>381.14</v>
      </c>
      <c r="E848">
        <v>199976</v>
      </c>
      <c r="F848">
        <v>245990</v>
      </c>
    </row>
    <row r="849" spans="3:6">
      <c r="C849" s="3">
        <v>44722</v>
      </c>
      <c r="D849">
        <v>401.81</v>
      </c>
      <c r="E849">
        <v>209396</v>
      </c>
      <c r="F849">
        <v>256778</v>
      </c>
    </row>
    <row r="850" spans="3:6">
      <c r="C850" s="3">
        <v>44721</v>
      </c>
      <c r="D850">
        <v>404.83</v>
      </c>
      <c r="E850">
        <v>149544</v>
      </c>
      <c r="F850">
        <v>268674</v>
      </c>
    </row>
    <row r="851" spans="3:6">
      <c r="C851" s="3">
        <v>44720</v>
      </c>
      <c r="D851">
        <v>408.48</v>
      </c>
      <c r="E851">
        <v>150989</v>
      </c>
      <c r="F851">
        <v>280844</v>
      </c>
    </row>
    <row r="852" spans="3:6">
      <c r="C852" s="3">
        <v>44719</v>
      </c>
      <c r="D852">
        <v>421.88</v>
      </c>
      <c r="E852">
        <v>141544</v>
      </c>
      <c r="F852">
        <v>287599</v>
      </c>
    </row>
    <row r="853" spans="3:6">
      <c r="C853" s="3">
        <v>44718</v>
      </c>
      <c r="D853">
        <v>416.59</v>
      </c>
      <c r="E853">
        <v>218011</v>
      </c>
      <c r="F853">
        <v>293348</v>
      </c>
    </row>
    <row r="854" spans="3:6">
      <c r="C854" s="3">
        <v>44715</v>
      </c>
      <c r="D854">
        <v>420.45</v>
      </c>
      <c r="E854">
        <v>160093</v>
      </c>
      <c r="F854">
        <v>291476</v>
      </c>
    </row>
    <row r="855" spans="3:6">
      <c r="C855" s="3">
        <v>44714</v>
      </c>
      <c r="D855">
        <v>419.56</v>
      </c>
      <c r="E855">
        <v>275349</v>
      </c>
      <c r="F855">
        <v>297133</v>
      </c>
    </row>
    <row r="856" spans="3:6">
      <c r="C856" s="3">
        <v>44713</v>
      </c>
      <c r="D856">
        <v>406.25</v>
      </c>
      <c r="E856">
        <v>239663</v>
      </c>
      <c r="F856">
        <v>295461</v>
      </c>
    </row>
    <row r="857" spans="3:6">
      <c r="C857" s="3">
        <v>44712</v>
      </c>
      <c r="D857">
        <v>409.55</v>
      </c>
      <c r="E857">
        <v>525026</v>
      </c>
      <c r="F857">
        <v>303338</v>
      </c>
    </row>
    <row r="858" spans="3:6">
      <c r="C858" s="3">
        <v>44708</v>
      </c>
      <c r="D858">
        <v>410.92</v>
      </c>
      <c r="E858">
        <v>263253</v>
      </c>
      <c r="F858">
        <v>288544</v>
      </c>
    </row>
    <row r="859" spans="3:6">
      <c r="C859" s="3">
        <v>44707</v>
      </c>
      <c r="D859">
        <v>401.62</v>
      </c>
      <c r="E859">
        <v>252776</v>
      </c>
      <c r="F859">
        <v>304167</v>
      </c>
    </row>
    <row r="860" spans="3:6">
      <c r="C860" s="3">
        <v>44706</v>
      </c>
      <c r="D860">
        <v>398.1</v>
      </c>
      <c r="E860">
        <v>284491</v>
      </c>
      <c r="F860">
        <v>300063</v>
      </c>
    </row>
    <row r="861" spans="3:6">
      <c r="C861" s="3">
        <v>44705</v>
      </c>
      <c r="D861">
        <v>390.84</v>
      </c>
      <c r="E861">
        <v>306363</v>
      </c>
      <c r="F861">
        <v>303335</v>
      </c>
    </row>
    <row r="862" spans="3:6">
      <c r="C862" s="3">
        <v>44704</v>
      </c>
      <c r="D862">
        <v>398.72</v>
      </c>
      <c r="E862">
        <v>313377</v>
      </c>
      <c r="F862">
        <v>307538</v>
      </c>
    </row>
    <row r="863" spans="3:6">
      <c r="C863" s="3">
        <v>44701</v>
      </c>
      <c r="D863">
        <v>395.42</v>
      </c>
      <c r="E863">
        <v>361795</v>
      </c>
      <c r="F863">
        <v>329324</v>
      </c>
    </row>
    <row r="864" spans="3:6">
      <c r="C864" s="3">
        <v>44700</v>
      </c>
      <c r="D864">
        <v>378.72</v>
      </c>
      <c r="E864">
        <v>387831</v>
      </c>
      <c r="F864">
        <v>326397</v>
      </c>
    </row>
    <row r="865" spans="3:6">
      <c r="C865" s="3">
        <v>44699</v>
      </c>
      <c r="D865">
        <v>375.63</v>
      </c>
      <c r="E865">
        <v>332100</v>
      </c>
      <c r="F865">
        <v>346845</v>
      </c>
    </row>
    <row r="866" spans="3:6">
      <c r="C866" s="3">
        <v>44698</v>
      </c>
      <c r="D866">
        <v>379.6</v>
      </c>
      <c r="E866">
        <v>252308</v>
      </c>
      <c r="F866">
        <v>355288</v>
      </c>
    </row>
    <row r="867" spans="3:6">
      <c r="C867" s="3">
        <v>44697</v>
      </c>
      <c r="D867">
        <v>364.4</v>
      </c>
      <c r="E867">
        <v>227788</v>
      </c>
      <c r="F867">
        <v>372827</v>
      </c>
    </row>
    <row r="868" spans="3:6">
      <c r="C868" s="3">
        <v>44694</v>
      </c>
      <c r="D868">
        <v>361.53</v>
      </c>
      <c r="E868">
        <v>189927</v>
      </c>
      <c r="F868">
        <v>383853</v>
      </c>
    </row>
    <row r="869" spans="3:6">
      <c r="C869" s="3">
        <v>44693</v>
      </c>
      <c r="D869">
        <v>352.73</v>
      </c>
      <c r="E869">
        <v>244943</v>
      </c>
      <c r="F869">
        <v>384194</v>
      </c>
    </row>
    <row r="870" spans="3:6">
      <c r="C870" s="3">
        <v>44692</v>
      </c>
      <c r="D870">
        <v>351.09</v>
      </c>
      <c r="E870">
        <v>250276</v>
      </c>
      <c r="F870">
        <v>389133</v>
      </c>
    </row>
    <row r="871" spans="3:6">
      <c r="C871" s="3">
        <v>44691</v>
      </c>
      <c r="D871">
        <v>358.41</v>
      </c>
      <c r="E871">
        <v>357810</v>
      </c>
      <c r="F871">
        <v>387272</v>
      </c>
    </row>
    <row r="872" spans="3:6">
      <c r="C872" s="3">
        <v>44690</v>
      </c>
      <c r="D872">
        <v>341.44</v>
      </c>
      <c r="E872">
        <v>303129</v>
      </c>
      <c r="F872">
        <v>384406</v>
      </c>
    </row>
    <row r="873" spans="3:6">
      <c r="C873" s="3">
        <v>44687</v>
      </c>
      <c r="D873">
        <v>349.89</v>
      </c>
      <c r="E873">
        <v>497591</v>
      </c>
      <c r="F873">
        <v>377373</v>
      </c>
    </row>
    <row r="874" spans="3:6">
      <c r="C874" s="3">
        <v>44686</v>
      </c>
      <c r="D874">
        <v>362.67</v>
      </c>
      <c r="E874">
        <v>191222</v>
      </c>
      <c r="F874">
        <v>353890</v>
      </c>
    </row>
    <row r="875" spans="3:6">
      <c r="C875" s="3">
        <v>44685</v>
      </c>
      <c r="D875">
        <v>378.42</v>
      </c>
      <c r="E875">
        <v>333566</v>
      </c>
      <c r="F875">
        <v>352990</v>
      </c>
    </row>
    <row r="876" spans="3:6">
      <c r="C876" s="3">
        <v>44684</v>
      </c>
      <c r="D876">
        <v>370.52</v>
      </c>
      <c r="E876">
        <v>369409</v>
      </c>
      <c r="F876">
        <v>345490</v>
      </c>
    </row>
    <row r="877" spans="3:6">
      <c r="C877" s="3">
        <v>44683</v>
      </c>
      <c r="D877">
        <v>374.09</v>
      </c>
      <c r="E877">
        <v>640163</v>
      </c>
      <c r="F877">
        <v>337507</v>
      </c>
    </row>
    <row r="878" spans="3:6">
      <c r="C878" s="3">
        <v>44680</v>
      </c>
      <c r="D878">
        <v>373.51</v>
      </c>
      <c r="E878">
        <v>317889</v>
      </c>
      <c r="F878">
        <v>309476</v>
      </c>
    </row>
    <row r="879" spans="3:6">
      <c r="C879" s="3">
        <v>44679</v>
      </c>
      <c r="D879">
        <v>385.38</v>
      </c>
      <c r="E879">
        <v>694561</v>
      </c>
      <c r="F879">
        <v>306583</v>
      </c>
    </row>
    <row r="880" spans="3:6">
      <c r="C880" s="3">
        <v>44678</v>
      </c>
      <c r="D880">
        <v>375.28</v>
      </c>
      <c r="E880">
        <v>458741</v>
      </c>
      <c r="F880">
        <v>289681</v>
      </c>
    </row>
    <row r="881" spans="3:6">
      <c r="C881" s="3">
        <v>44677</v>
      </c>
      <c r="D881">
        <v>369.34</v>
      </c>
      <c r="E881">
        <v>515397</v>
      </c>
      <c r="F881">
        <v>282427</v>
      </c>
    </row>
    <row r="882" spans="3:6">
      <c r="C882" s="3">
        <v>44676</v>
      </c>
      <c r="D882">
        <v>386.5</v>
      </c>
      <c r="E882">
        <v>393166</v>
      </c>
      <c r="F882">
        <v>258339</v>
      </c>
    </row>
    <row r="883" spans="3:6">
      <c r="C883" s="3">
        <v>44673</v>
      </c>
      <c r="D883">
        <v>382.6</v>
      </c>
      <c r="E883">
        <v>195040</v>
      </c>
      <c r="F883">
        <v>255218</v>
      </c>
    </row>
    <row r="884" spans="3:6">
      <c r="C884" s="3">
        <v>44672</v>
      </c>
      <c r="D884">
        <v>386.67</v>
      </c>
      <c r="E884">
        <v>319035</v>
      </c>
      <c r="F884">
        <v>259179</v>
      </c>
    </row>
    <row r="885" spans="3:6">
      <c r="C885" s="3">
        <v>44671</v>
      </c>
      <c r="D885">
        <v>408.09</v>
      </c>
      <c r="E885">
        <v>222366</v>
      </c>
      <c r="F885">
        <v>249449</v>
      </c>
    </row>
    <row r="886" spans="3:6">
      <c r="C886" s="3">
        <v>44670</v>
      </c>
      <c r="D886">
        <v>409.55</v>
      </c>
      <c r="E886">
        <v>314816</v>
      </c>
      <c r="F886">
        <v>250287</v>
      </c>
    </row>
    <row r="887" spans="3:6">
      <c r="C887" s="3">
        <v>44669</v>
      </c>
      <c r="D887">
        <v>404.74</v>
      </c>
      <c r="E887">
        <v>197626</v>
      </c>
      <c r="F887">
        <v>243726</v>
      </c>
    </row>
    <row r="888" spans="3:6">
      <c r="C888" s="3">
        <v>44665</v>
      </c>
      <c r="D888">
        <v>413.72</v>
      </c>
      <c r="E888">
        <v>145352</v>
      </c>
      <c r="F888">
        <v>250553</v>
      </c>
    </row>
    <row r="889" spans="3:6">
      <c r="C889" s="3">
        <v>44664</v>
      </c>
      <c r="D889">
        <v>414.98</v>
      </c>
      <c r="E889">
        <v>177729</v>
      </c>
      <c r="F889">
        <v>250575</v>
      </c>
    </row>
    <row r="890" spans="3:6">
      <c r="C890" s="3">
        <v>44663</v>
      </c>
      <c r="D890">
        <v>407.4</v>
      </c>
      <c r="E890">
        <v>221060</v>
      </c>
      <c r="F890">
        <v>251461</v>
      </c>
    </row>
    <row r="891" spans="3:6">
      <c r="C891" s="3">
        <v>44662</v>
      </c>
      <c r="D891">
        <v>411.01</v>
      </c>
      <c r="E891">
        <v>249657</v>
      </c>
      <c r="F891">
        <v>252162</v>
      </c>
    </row>
    <row r="892" spans="3:6">
      <c r="C892" s="3">
        <v>44659</v>
      </c>
      <c r="D892">
        <v>418.75</v>
      </c>
      <c r="E892">
        <v>219705</v>
      </c>
      <c r="F892">
        <v>249503</v>
      </c>
    </row>
    <row r="893" spans="3:6">
      <c r="C893" s="3">
        <v>44658</v>
      </c>
      <c r="D893">
        <v>421.18</v>
      </c>
      <c r="E893">
        <v>274501</v>
      </c>
      <c r="F893">
        <v>273544</v>
      </c>
    </row>
    <row r="894" spans="3:6">
      <c r="C894" s="3">
        <v>44657</v>
      </c>
      <c r="D894">
        <v>419.1</v>
      </c>
      <c r="E894">
        <v>441020</v>
      </c>
      <c r="F894">
        <v>273713</v>
      </c>
    </row>
    <row r="895" spans="3:6">
      <c r="C895" s="3">
        <v>44656</v>
      </c>
      <c r="D895">
        <v>439.91</v>
      </c>
      <c r="E895">
        <v>349938</v>
      </c>
      <c r="F895">
        <v>259285</v>
      </c>
    </row>
    <row r="896" spans="3:6">
      <c r="C896" s="3">
        <v>44655</v>
      </c>
      <c r="D896">
        <v>452.43</v>
      </c>
      <c r="E896">
        <v>154079</v>
      </c>
      <c r="F896">
        <v>251017</v>
      </c>
    </row>
    <row r="897" spans="3:6">
      <c r="C897" s="3">
        <v>44652</v>
      </c>
      <c r="D897">
        <v>449.29</v>
      </c>
      <c r="E897">
        <v>346340</v>
      </c>
      <c r="F897">
        <v>258461</v>
      </c>
    </row>
    <row r="898" spans="3:6">
      <c r="C898" s="3">
        <v>44651</v>
      </c>
      <c r="D898">
        <v>466.46</v>
      </c>
      <c r="E898">
        <v>254467</v>
      </c>
      <c r="F898">
        <v>244869</v>
      </c>
    </row>
    <row r="899" spans="3:6">
      <c r="C899" s="3">
        <v>44650</v>
      </c>
      <c r="D899">
        <v>476.96</v>
      </c>
      <c r="E899">
        <v>173081</v>
      </c>
      <c r="F899">
        <v>240548</v>
      </c>
    </row>
    <row r="900" spans="3:6">
      <c r="C900" s="3">
        <v>44649</v>
      </c>
      <c r="D900">
        <v>479.36</v>
      </c>
      <c r="E900">
        <v>234937</v>
      </c>
      <c r="F900">
        <v>245097</v>
      </c>
    </row>
    <row r="901" spans="3:6">
      <c r="C901" s="3">
        <v>44648</v>
      </c>
      <c r="D901">
        <v>462.39</v>
      </c>
      <c r="E901">
        <v>216391</v>
      </c>
      <c r="F901">
        <v>248987</v>
      </c>
    </row>
    <row r="902" spans="3:6">
      <c r="C902" s="3">
        <v>44645</v>
      </c>
      <c r="D902">
        <v>457.5</v>
      </c>
      <c r="E902">
        <v>300041</v>
      </c>
      <c r="F902">
        <v>251496</v>
      </c>
    </row>
    <row r="903" spans="3:6">
      <c r="C903" s="3">
        <v>44644</v>
      </c>
      <c r="D903">
        <v>465.17</v>
      </c>
      <c r="E903">
        <v>145680</v>
      </c>
      <c r="F903">
        <v>253279</v>
      </c>
    </row>
    <row r="904" spans="3:6">
      <c r="C904" s="3">
        <v>44643</v>
      </c>
      <c r="D904">
        <v>464.42</v>
      </c>
      <c r="E904">
        <v>191012</v>
      </c>
      <c r="F904">
        <v>255079</v>
      </c>
    </row>
    <row r="905" spans="3:6">
      <c r="C905" s="3">
        <v>44642</v>
      </c>
      <c r="D905">
        <v>484.79</v>
      </c>
      <c r="E905">
        <v>231577</v>
      </c>
      <c r="F905">
        <v>254228</v>
      </c>
    </row>
    <row r="906" spans="3:6">
      <c r="C906" s="3">
        <v>44641</v>
      </c>
      <c r="D906">
        <v>483.73</v>
      </c>
      <c r="E906">
        <v>209772</v>
      </c>
      <c r="F906">
        <v>260427</v>
      </c>
    </row>
    <row r="907" spans="3:6">
      <c r="C907" s="3">
        <v>44638</v>
      </c>
      <c r="D907">
        <v>491.65</v>
      </c>
      <c r="E907">
        <v>580324</v>
      </c>
      <c r="F907">
        <v>272992</v>
      </c>
    </row>
    <row r="908" spans="3:6">
      <c r="C908" s="3">
        <v>44637</v>
      </c>
      <c r="D908">
        <v>480.2</v>
      </c>
      <c r="E908">
        <v>277041</v>
      </c>
      <c r="F908">
        <v>246688</v>
      </c>
    </row>
    <row r="909" spans="3:6">
      <c r="C909" s="3">
        <v>44636</v>
      </c>
      <c r="D909">
        <v>483.72</v>
      </c>
      <c r="E909">
        <v>224597</v>
      </c>
      <c r="F909">
        <v>245531</v>
      </c>
    </row>
    <row r="910" spans="3:6">
      <c r="C910" s="3">
        <v>44635</v>
      </c>
      <c r="D910">
        <v>478.68</v>
      </c>
      <c r="E910">
        <v>225922</v>
      </c>
      <c r="F910">
        <v>255965</v>
      </c>
    </row>
    <row r="911" spans="3:6">
      <c r="C911" s="3">
        <v>44634</v>
      </c>
      <c r="D911">
        <v>466.03</v>
      </c>
      <c r="E911">
        <v>265731</v>
      </c>
      <c r="F911">
        <v>255447</v>
      </c>
    </row>
    <row r="912" spans="3:6">
      <c r="C912" s="3">
        <v>44631</v>
      </c>
      <c r="D912">
        <v>463.18</v>
      </c>
      <c r="E912">
        <v>142464</v>
      </c>
      <c r="F912">
        <v>252958</v>
      </c>
    </row>
    <row r="913" spans="3:6">
      <c r="C913" s="3">
        <v>44630</v>
      </c>
      <c r="D913">
        <v>481.61</v>
      </c>
      <c r="E913">
        <v>189650</v>
      </c>
      <c r="F913">
        <v>256430</v>
      </c>
    </row>
    <row r="914" spans="3:6">
      <c r="C914" s="3">
        <v>44629</v>
      </c>
      <c r="D914">
        <v>485.92</v>
      </c>
      <c r="E914">
        <v>241311</v>
      </c>
      <c r="F914">
        <v>256351</v>
      </c>
    </row>
    <row r="915" spans="3:6">
      <c r="C915" s="3">
        <v>44628</v>
      </c>
      <c r="D915">
        <v>468.91</v>
      </c>
      <c r="E915">
        <v>293289</v>
      </c>
      <c r="F915">
        <v>249851</v>
      </c>
    </row>
    <row r="916" spans="3:6">
      <c r="C916" s="3">
        <v>44627</v>
      </c>
      <c r="D916">
        <v>477.02</v>
      </c>
      <c r="E916">
        <v>254033</v>
      </c>
      <c r="F916">
        <v>245045</v>
      </c>
    </row>
    <row r="917" spans="3:6">
      <c r="C917" s="3">
        <v>44624</v>
      </c>
      <c r="D917">
        <v>497.23</v>
      </c>
      <c r="E917">
        <v>326777</v>
      </c>
      <c r="F917">
        <v>249602</v>
      </c>
    </row>
    <row r="918" spans="3:6">
      <c r="C918" s="3">
        <v>44623</v>
      </c>
      <c r="D918">
        <v>481.97</v>
      </c>
      <c r="E918">
        <v>172691</v>
      </c>
      <c r="F918">
        <v>246872</v>
      </c>
    </row>
    <row r="919" spans="3:6">
      <c r="C919" s="3">
        <v>44622</v>
      </c>
      <c r="D919">
        <v>490</v>
      </c>
      <c r="E919">
        <v>178244</v>
      </c>
      <c r="F919">
        <v>259811</v>
      </c>
    </row>
    <row r="920" spans="3:6">
      <c r="C920" s="3">
        <v>44621</v>
      </c>
      <c r="D920">
        <v>475.46</v>
      </c>
      <c r="E920">
        <v>324555</v>
      </c>
      <c r="F920">
        <v>261013</v>
      </c>
    </row>
    <row r="921" spans="3:6">
      <c r="C921" s="3">
        <v>44620</v>
      </c>
      <c r="D921">
        <v>471.19</v>
      </c>
      <c r="E921">
        <v>398250</v>
      </c>
      <c r="F921">
        <v>254905</v>
      </c>
    </row>
    <row r="922" spans="3:6">
      <c r="C922" s="3">
        <v>44617</v>
      </c>
      <c r="D922">
        <v>473.39</v>
      </c>
      <c r="E922">
        <v>185763</v>
      </c>
      <c r="F922">
        <v>242095</v>
      </c>
    </row>
    <row r="923" spans="3:6">
      <c r="C923" s="3">
        <v>44616</v>
      </c>
      <c r="D923">
        <v>472.45</v>
      </c>
      <c r="E923">
        <v>259694</v>
      </c>
      <c r="F923">
        <v>243659</v>
      </c>
    </row>
    <row r="924" spans="3:6">
      <c r="C924" s="3">
        <v>44615</v>
      </c>
      <c r="D924">
        <v>454.8</v>
      </c>
      <c r="E924">
        <v>381108</v>
      </c>
      <c r="F924">
        <v>242948</v>
      </c>
    </row>
    <row r="925" spans="3:6">
      <c r="C925" s="3">
        <v>44614</v>
      </c>
      <c r="D925">
        <v>485.16</v>
      </c>
      <c r="E925">
        <v>218146</v>
      </c>
      <c r="F925">
        <v>242141</v>
      </c>
    </row>
    <row r="926" spans="3:6">
      <c r="C926" s="3">
        <v>44610</v>
      </c>
      <c r="D926">
        <v>498.2</v>
      </c>
      <c r="E926">
        <v>228399</v>
      </c>
      <c r="F926">
        <v>254427</v>
      </c>
    </row>
    <row r="927" spans="3:6">
      <c r="C927" s="3">
        <v>44609</v>
      </c>
      <c r="D927">
        <v>508.93</v>
      </c>
      <c r="E927">
        <v>194544</v>
      </c>
      <c r="F927">
        <v>289443</v>
      </c>
    </row>
    <row r="928" spans="3:6">
      <c r="C928" s="3">
        <v>44608</v>
      </c>
      <c r="D928">
        <v>511.56</v>
      </c>
      <c r="E928">
        <v>188461</v>
      </c>
      <c r="F928">
        <v>296379</v>
      </c>
    </row>
    <row r="929" spans="3:6">
      <c r="C929" s="3">
        <v>44607</v>
      </c>
      <c r="D929">
        <v>517.92999999999995</v>
      </c>
      <c r="E929">
        <v>143811</v>
      </c>
      <c r="F929">
        <v>295184</v>
      </c>
    </row>
    <row r="930" spans="3:6">
      <c r="C930" s="3">
        <v>44606</v>
      </c>
      <c r="D930">
        <v>512.4</v>
      </c>
      <c r="E930">
        <v>221199</v>
      </c>
      <c r="F930">
        <v>302843</v>
      </c>
    </row>
    <row r="931" spans="3:6">
      <c r="C931" s="3">
        <v>44603</v>
      </c>
      <c r="D931">
        <v>516.62</v>
      </c>
      <c r="E931">
        <v>322394</v>
      </c>
      <c r="F931">
        <v>308079</v>
      </c>
    </row>
    <row r="932" spans="3:6">
      <c r="C932" s="3">
        <v>44602</v>
      </c>
      <c r="D932">
        <v>516.82000000000005</v>
      </c>
      <c r="E932">
        <v>285819</v>
      </c>
      <c r="F932">
        <v>310207</v>
      </c>
    </row>
    <row r="933" spans="3:6">
      <c r="C933" s="3">
        <v>44601</v>
      </c>
      <c r="D933">
        <v>523.42999999999995</v>
      </c>
      <c r="E933">
        <v>366780</v>
      </c>
      <c r="F933">
        <v>302773</v>
      </c>
    </row>
    <row r="934" spans="3:6">
      <c r="C934" s="3">
        <v>44600</v>
      </c>
      <c r="D934">
        <v>512.48</v>
      </c>
      <c r="E934">
        <v>196269</v>
      </c>
      <c r="F934">
        <v>313919</v>
      </c>
    </row>
    <row r="935" spans="3:6">
      <c r="C935" s="3">
        <v>44599</v>
      </c>
      <c r="D935">
        <v>502.74</v>
      </c>
      <c r="E935">
        <v>232938</v>
      </c>
      <c r="F935">
        <v>323492</v>
      </c>
    </row>
    <row r="936" spans="3:6">
      <c r="C936" s="3">
        <v>44596</v>
      </c>
      <c r="D936">
        <v>502.06</v>
      </c>
      <c r="E936">
        <v>206107</v>
      </c>
      <c r="F936">
        <v>329775</v>
      </c>
    </row>
    <row r="937" spans="3:6">
      <c r="C937" s="3">
        <v>44595</v>
      </c>
      <c r="D937">
        <v>495.22</v>
      </c>
      <c r="E937">
        <v>209220</v>
      </c>
      <c r="F937">
        <v>333289</v>
      </c>
    </row>
    <row r="938" spans="3:6">
      <c r="C938" s="3">
        <v>44594</v>
      </c>
      <c r="D938">
        <v>504.66</v>
      </c>
      <c r="E938">
        <v>249019</v>
      </c>
      <c r="F938">
        <v>335220</v>
      </c>
    </row>
    <row r="939" spans="3:6">
      <c r="C939" s="3">
        <v>44593</v>
      </c>
      <c r="D939">
        <v>497.54</v>
      </c>
      <c r="E939">
        <v>369002</v>
      </c>
      <c r="F939">
        <v>333390</v>
      </c>
    </row>
    <row r="940" spans="3:6">
      <c r="C940" s="3">
        <v>44592</v>
      </c>
      <c r="D940">
        <v>494.99</v>
      </c>
      <c r="E940">
        <v>402445</v>
      </c>
      <c r="F940">
        <v>329177</v>
      </c>
    </row>
    <row r="941" spans="3:6">
      <c r="C941" s="3">
        <v>44589</v>
      </c>
      <c r="D941">
        <v>493.12</v>
      </c>
      <c r="E941">
        <v>753639</v>
      </c>
      <c r="F941">
        <v>317743</v>
      </c>
    </row>
    <row r="942" spans="3:6">
      <c r="C942" s="3">
        <v>44588</v>
      </c>
      <c r="D942">
        <v>422.99</v>
      </c>
      <c r="E942">
        <v>298575</v>
      </c>
      <c r="F942">
        <v>282872</v>
      </c>
    </row>
    <row r="943" spans="3:6">
      <c r="C943" s="3">
        <v>44587</v>
      </c>
      <c r="D943">
        <v>417.29</v>
      </c>
      <c r="E943">
        <v>170550</v>
      </c>
      <c r="F943">
        <v>282862</v>
      </c>
    </row>
    <row r="944" spans="3:6">
      <c r="C944" s="3">
        <v>44586</v>
      </c>
      <c r="D944">
        <v>416.77</v>
      </c>
      <c r="E944">
        <v>258691</v>
      </c>
      <c r="F944">
        <v>287463</v>
      </c>
    </row>
    <row r="945" spans="3:6">
      <c r="C945" s="3">
        <v>44585</v>
      </c>
      <c r="D945">
        <v>439.45</v>
      </c>
      <c r="E945">
        <v>299744</v>
      </c>
      <c r="F945">
        <v>284741</v>
      </c>
    </row>
    <row r="946" spans="3:6">
      <c r="C946" s="3">
        <v>44582</v>
      </c>
      <c r="D946">
        <v>427.03</v>
      </c>
      <c r="E946">
        <v>354302</v>
      </c>
      <c r="F946">
        <v>274274</v>
      </c>
    </row>
    <row r="947" spans="3:6">
      <c r="C947" s="3">
        <v>44581</v>
      </c>
      <c r="D947">
        <v>430.97</v>
      </c>
      <c r="E947">
        <v>174307</v>
      </c>
      <c r="F947">
        <v>270111</v>
      </c>
    </row>
    <row r="948" spans="3:6">
      <c r="C948" s="3">
        <v>44580</v>
      </c>
      <c r="D948">
        <v>438.8</v>
      </c>
      <c r="E948">
        <v>533979</v>
      </c>
      <c r="F948">
        <v>270443</v>
      </c>
    </row>
    <row r="949" spans="3:6">
      <c r="C949" s="3">
        <v>44579</v>
      </c>
      <c r="D949">
        <v>435.94</v>
      </c>
      <c r="E949">
        <v>339866</v>
      </c>
      <c r="F949">
        <v>249459</v>
      </c>
    </row>
    <row r="950" spans="3:6">
      <c r="C950" s="3">
        <v>44575</v>
      </c>
      <c r="D950">
        <v>436.44</v>
      </c>
      <c r="E950">
        <v>327175</v>
      </c>
      <c r="F950">
        <v>237705</v>
      </c>
    </row>
    <row r="951" spans="3:6">
      <c r="C951" s="3">
        <v>44574</v>
      </c>
      <c r="D951">
        <v>438.58</v>
      </c>
      <c r="E951">
        <v>258815</v>
      </c>
      <c r="F951">
        <v>225454</v>
      </c>
    </row>
    <row r="952" spans="3:6">
      <c r="C952" s="3">
        <v>44573</v>
      </c>
      <c r="D952">
        <v>451.98</v>
      </c>
      <c r="E952">
        <v>238197</v>
      </c>
      <c r="F952">
        <v>221849</v>
      </c>
    </row>
    <row r="953" spans="3:6">
      <c r="C953" s="3">
        <v>44572</v>
      </c>
      <c r="D953">
        <v>448.5</v>
      </c>
      <c r="E953">
        <v>221564</v>
      </c>
      <c r="F953">
        <v>230692</v>
      </c>
    </row>
    <row r="954" spans="3:6">
      <c r="C954" s="3">
        <v>44571</v>
      </c>
      <c r="D954">
        <v>440.19</v>
      </c>
      <c r="E954">
        <v>305808</v>
      </c>
      <c r="F954">
        <v>236295</v>
      </c>
    </row>
    <row r="955" spans="3:6">
      <c r="C955" s="3">
        <v>44568</v>
      </c>
      <c r="D955">
        <v>440.05</v>
      </c>
      <c r="E955">
        <v>230927</v>
      </c>
      <c r="F955">
        <v>264925</v>
      </c>
    </row>
    <row r="956" spans="3:6">
      <c r="C956" s="3">
        <v>44567</v>
      </c>
      <c r="D956">
        <v>443.53</v>
      </c>
      <c r="E956">
        <v>230576</v>
      </c>
      <c r="F956">
        <v>281396</v>
      </c>
    </row>
    <row r="957" spans="3:6">
      <c r="C957" s="3">
        <v>44566</v>
      </c>
      <c r="D957">
        <v>425.89</v>
      </c>
      <c r="E957">
        <v>298432</v>
      </c>
      <c r="F957">
        <v>290136</v>
      </c>
    </row>
    <row r="958" spans="3:6">
      <c r="C958" s="3">
        <v>44565</v>
      </c>
      <c r="D958">
        <v>445.83</v>
      </c>
      <c r="E958">
        <v>239563</v>
      </c>
      <c r="F958">
        <v>295171</v>
      </c>
    </row>
    <row r="959" spans="3:6">
      <c r="C959" s="3">
        <v>44564</v>
      </c>
      <c r="D959">
        <v>443.13</v>
      </c>
      <c r="E959">
        <v>217866</v>
      </c>
      <c r="F959">
        <v>300199</v>
      </c>
    </row>
    <row r="960" spans="3:6">
      <c r="C960" s="3">
        <v>44561</v>
      </c>
      <c r="D960">
        <v>433.67</v>
      </c>
      <c r="E960">
        <v>142730</v>
      </c>
      <c r="F960">
        <v>305405</v>
      </c>
    </row>
    <row r="961" spans="3:6">
      <c r="C961" s="3">
        <v>44560</v>
      </c>
      <c r="D961">
        <v>437.11</v>
      </c>
      <c r="E961">
        <v>291864</v>
      </c>
      <c r="F961">
        <v>319993</v>
      </c>
    </row>
    <row r="962" spans="3:6">
      <c r="C962" s="3">
        <v>44559</v>
      </c>
      <c r="D962">
        <v>439.63</v>
      </c>
      <c r="E962">
        <v>179282</v>
      </c>
      <c r="F962">
        <v>320802</v>
      </c>
    </row>
    <row r="963" spans="3:6">
      <c r="C963" s="3">
        <v>44558</v>
      </c>
      <c r="D963">
        <v>433.7</v>
      </c>
      <c r="E963">
        <v>219213</v>
      </c>
      <c r="F963">
        <v>338358</v>
      </c>
    </row>
    <row r="964" spans="3:6">
      <c r="C964" s="3">
        <v>44557</v>
      </c>
      <c r="D964">
        <v>434.88</v>
      </c>
      <c r="E964">
        <v>163566</v>
      </c>
      <c r="F964">
        <v>362126</v>
      </c>
    </row>
    <row r="965" spans="3:6">
      <c r="C965" s="3">
        <v>44553</v>
      </c>
      <c r="D965">
        <v>435.1</v>
      </c>
      <c r="E965">
        <v>143413</v>
      </c>
      <c r="F965">
        <v>379422</v>
      </c>
    </row>
    <row r="966" spans="3:6">
      <c r="C966" s="3">
        <v>44552</v>
      </c>
      <c r="D966">
        <v>430.26</v>
      </c>
      <c r="E966">
        <v>204731</v>
      </c>
      <c r="F966">
        <v>405771</v>
      </c>
    </row>
    <row r="967" spans="3:6">
      <c r="C967" s="3">
        <v>44551</v>
      </c>
      <c r="D967">
        <v>424.72</v>
      </c>
      <c r="E967">
        <v>370843</v>
      </c>
      <c r="F967">
        <v>422287</v>
      </c>
    </row>
    <row r="968" spans="3:6">
      <c r="C968" s="3">
        <v>44550</v>
      </c>
      <c r="D968">
        <v>423.13</v>
      </c>
      <c r="E968">
        <v>305610</v>
      </c>
      <c r="F968">
        <v>440571</v>
      </c>
    </row>
    <row r="969" spans="3:6">
      <c r="C969" s="3">
        <v>44547</v>
      </c>
      <c r="D969">
        <v>412.25</v>
      </c>
      <c r="E969">
        <v>735264</v>
      </c>
      <c r="F969">
        <v>440230</v>
      </c>
    </row>
    <row r="970" spans="3:6">
      <c r="C970" s="3">
        <v>44546</v>
      </c>
      <c r="D970">
        <v>408.46</v>
      </c>
      <c r="E970">
        <v>477983</v>
      </c>
      <c r="F970">
        <v>399870</v>
      </c>
    </row>
    <row r="971" spans="3:6">
      <c r="C971" s="3">
        <v>44545</v>
      </c>
      <c r="D971">
        <v>415.01</v>
      </c>
      <c r="E971">
        <v>361683</v>
      </c>
      <c r="F971">
        <v>382470</v>
      </c>
    </row>
    <row r="972" spans="3:6">
      <c r="C972" s="3">
        <v>44544</v>
      </c>
      <c r="D972">
        <v>407.77</v>
      </c>
      <c r="E972">
        <v>373957</v>
      </c>
      <c r="F972">
        <v>381218</v>
      </c>
    </row>
    <row r="973" spans="3:6">
      <c r="C973" s="3">
        <v>44543</v>
      </c>
      <c r="D973">
        <v>414.04</v>
      </c>
      <c r="E973">
        <v>314982</v>
      </c>
      <c r="F973">
        <v>376055</v>
      </c>
    </row>
    <row r="974" spans="3:6">
      <c r="C974" s="3">
        <v>44540</v>
      </c>
      <c r="D974">
        <v>407.49</v>
      </c>
      <c r="E974">
        <v>295957</v>
      </c>
      <c r="F974">
        <v>394616</v>
      </c>
    </row>
    <row r="975" spans="3:6">
      <c r="C975" s="3">
        <v>44539</v>
      </c>
      <c r="D975">
        <v>406.99</v>
      </c>
      <c r="E975">
        <v>361546</v>
      </c>
      <c r="F975">
        <v>401278</v>
      </c>
    </row>
    <row r="976" spans="3:6">
      <c r="C976" s="3">
        <v>44538</v>
      </c>
      <c r="D976">
        <v>404.4</v>
      </c>
      <c r="E976">
        <v>304006</v>
      </c>
      <c r="F976">
        <v>416309</v>
      </c>
    </row>
    <row r="977" spans="3:6">
      <c r="C977" s="3">
        <v>44537</v>
      </c>
      <c r="D977">
        <v>400.33</v>
      </c>
      <c r="E977">
        <v>442622</v>
      </c>
      <c r="F977">
        <v>425160</v>
      </c>
    </row>
    <row r="978" spans="3:6">
      <c r="C978" s="3">
        <v>44536</v>
      </c>
      <c r="D978">
        <v>399.28</v>
      </c>
      <c r="E978">
        <v>575730</v>
      </c>
      <c r="F978">
        <v>425274</v>
      </c>
    </row>
    <row r="979" spans="3:6">
      <c r="C979" s="3">
        <v>44533</v>
      </c>
      <c r="D979">
        <v>381.51</v>
      </c>
      <c r="E979">
        <v>423003</v>
      </c>
      <c r="F979">
        <v>415578</v>
      </c>
    </row>
    <row r="980" spans="3:6">
      <c r="C980" s="3">
        <v>44532</v>
      </c>
      <c r="D980">
        <v>380.55</v>
      </c>
      <c r="E980">
        <v>538650</v>
      </c>
      <c r="F980">
        <v>429360</v>
      </c>
    </row>
    <row r="981" spans="3:6">
      <c r="C981" s="3">
        <v>44531</v>
      </c>
      <c r="D981">
        <v>363.58</v>
      </c>
      <c r="E981">
        <v>452469</v>
      </c>
      <c r="F981">
        <v>418543</v>
      </c>
    </row>
    <row r="982" spans="3:6">
      <c r="C982" s="3">
        <v>44530</v>
      </c>
      <c r="D982">
        <v>353.13</v>
      </c>
      <c r="E982">
        <v>645099</v>
      </c>
      <c r="F982">
        <v>412691</v>
      </c>
    </row>
    <row r="983" spans="3:6">
      <c r="C983" s="3">
        <v>44529</v>
      </c>
      <c r="D983">
        <v>350.66</v>
      </c>
      <c r="E983">
        <v>300499</v>
      </c>
      <c r="F983">
        <v>406356</v>
      </c>
    </row>
    <row r="984" spans="3:6">
      <c r="C984" s="3">
        <v>44526</v>
      </c>
      <c r="D984">
        <v>345.62</v>
      </c>
      <c r="E984">
        <v>129868</v>
      </c>
      <c r="F984">
        <v>401000</v>
      </c>
    </row>
    <row r="985" spans="3:6">
      <c r="C985" s="3">
        <v>44524</v>
      </c>
      <c r="D985">
        <v>353.37</v>
      </c>
      <c r="E985">
        <v>216979</v>
      </c>
      <c r="F985">
        <v>415663</v>
      </c>
    </row>
    <row r="986" spans="3:6">
      <c r="C986" s="3">
        <v>44523</v>
      </c>
      <c r="D986">
        <v>349.93</v>
      </c>
      <c r="E986">
        <v>342901</v>
      </c>
      <c r="F986">
        <v>435219</v>
      </c>
    </row>
    <row r="987" spans="3:6">
      <c r="C987" s="3">
        <v>44522</v>
      </c>
      <c r="D987">
        <v>354.18</v>
      </c>
      <c r="E987">
        <v>296509</v>
      </c>
      <c r="F987">
        <v>424110</v>
      </c>
    </row>
    <row r="988" spans="3:6">
      <c r="C988" s="3">
        <v>44519</v>
      </c>
      <c r="D988">
        <v>357.51</v>
      </c>
      <c r="E988">
        <v>593405</v>
      </c>
      <c r="F988">
        <v>411694</v>
      </c>
    </row>
    <row r="989" spans="3:6">
      <c r="C989" s="3">
        <v>44518</v>
      </c>
      <c r="D989">
        <v>352.76</v>
      </c>
      <c r="E989">
        <v>395883</v>
      </c>
      <c r="F989">
        <v>386247</v>
      </c>
    </row>
    <row r="990" spans="3:6">
      <c r="C990" s="3">
        <v>44517</v>
      </c>
      <c r="D990">
        <v>362.58</v>
      </c>
      <c r="E990">
        <v>587010</v>
      </c>
      <c r="F990">
        <v>374956</v>
      </c>
    </row>
    <row r="991" spans="3:6">
      <c r="C991" s="3">
        <v>44516</v>
      </c>
      <c r="D991">
        <v>377.86</v>
      </c>
      <c r="E991">
        <v>436778</v>
      </c>
      <c r="F991">
        <v>353559</v>
      </c>
    </row>
    <row r="992" spans="3:6">
      <c r="C992" s="3">
        <v>44515</v>
      </c>
      <c r="D992">
        <v>390.66</v>
      </c>
      <c r="E992">
        <v>444330</v>
      </c>
      <c r="F992">
        <v>338498</v>
      </c>
    </row>
    <row r="993" spans="3:6">
      <c r="C993" s="3">
        <v>44512</v>
      </c>
      <c r="D993">
        <v>375.67</v>
      </c>
      <c r="E993">
        <v>430284</v>
      </c>
      <c r="F993">
        <v>322582</v>
      </c>
    </row>
    <row r="994" spans="3:6">
      <c r="C994" s="3">
        <v>44511</v>
      </c>
      <c r="D994">
        <v>377.81</v>
      </c>
      <c r="E994">
        <v>629734</v>
      </c>
      <c r="F994">
        <v>303288</v>
      </c>
    </row>
    <row r="995" spans="3:6">
      <c r="C995" s="3">
        <v>44510</v>
      </c>
      <c r="D995">
        <v>388.61</v>
      </c>
      <c r="E995">
        <v>376390</v>
      </c>
      <c r="F995">
        <v>275989</v>
      </c>
    </row>
    <row r="996" spans="3:6">
      <c r="C996" s="3">
        <v>44509</v>
      </c>
      <c r="D996">
        <v>403.74</v>
      </c>
      <c r="E996">
        <v>364701</v>
      </c>
      <c r="F996">
        <v>264561</v>
      </c>
    </row>
    <row r="997" spans="3:6">
      <c r="C997" s="3">
        <v>44508</v>
      </c>
      <c r="D997">
        <v>398.18</v>
      </c>
      <c r="E997">
        <v>550069</v>
      </c>
      <c r="F997">
        <v>248881</v>
      </c>
    </row>
    <row r="998" spans="3:6">
      <c r="C998" s="3">
        <v>44505</v>
      </c>
      <c r="D998">
        <v>380.2</v>
      </c>
      <c r="E998">
        <v>220154</v>
      </c>
      <c r="F998">
        <v>221703</v>
      </c>
    </row>
    <row r="999" spans="3:6">
      <c r="C999" s="3">
        <v>44504</v>
      </c>
      <c r="D999">
        <v>382.85</v>
      </c>
      <c r="E999">
        <v>349815</v>
      </c>
      <c r="F999">
        <v>226041</v>
      </c>
    </row>
    <row r="1000" spans="3:6">
      <c r="C1000" s="3">
        <v>44503</v>
      </c>
      <c r="D1000">
        <v>384</v>
      </c>
      <c r="E1000">
        <v>510319</v>
      </c>
      <c r="F1000">
        <v>216394</v>
      </c>
    </row>
    <row r="1001" spans="3:6">
      <c r="C1001" s="3">
        <v>44502</v>
      </c>
      <c r="D1001">
        <v>390.54</v>
      </c>
      <c r="E1001">
        <v>176267</v>
      </c>
      <c r="F1001">
        <v>196357</v>
      </c>
    </row>
    <row r="1002" spans="3:6">
      <c r="C1002" s="3">
        <v>44501</v>
      </c>
      <c r="D1002">
        <v>400.26</v>
      </c>
      <c r="E1002">
        <v>110273</v>
      </c>
      <c r="F1002">
        <v>195438</v>
      </c>
    </row>
    <row r="1003" spans="3:6">
      <c r="C1003" s="3">
        <v>44498</v>
      </c>
      <c r="D1003">
        <v>398.2</v>
      </c>
      <c r="E1003">
        <v>211703</v>
      </c>
      <c r="F1003">
        <v>201264</v>
      </c>
    </row>
    <row r="1004" spans="3:6">
      <c r="C1004" s="3">
        <v>44497</v>
      </c>
      <c r="D1004">
        <v>395.34</v>
      </c>
      <c r="E1004">
        <v>226514</v>
      </c>
      <c r="F1004">
        <v>197531</v>
      </c>
    </row>
    <row r="1005" spans="3:6">
      <c r="C1005" s="3">
        <v>44496</v>
      </c>
      <c r="D1005">
        <v>395.05</v>
      </c>
      <c r="E1005">
        <v>266055</v>
      </c>
      <c r="F1005">
        <v>198886</v>
      </c>
    </row>
    <row r="1006" spans="3:6">
      <c r="C1006" s="3">
        <v>44495</v>
      </c>
      <c r="D1006">
        <v>410.82</v>
      </c>
      <c r="E1006">
        <v>210869</v>
      </c>
      <c r="F1006">
        <v>200823</v>
      </c>
    </row>
    <row r="1007" spans="3:6">
      <c r="C1007" s="3">
        <v>44494</v>
      </c>
      <c r="D1007">
        <v>413.99</v>
      </c>
      <c r="E1007">
        <v>205579</v>
      </c>
      <c r="F1007">
        <v>203952</v>
      </c>
    </row>
    <row r="1008" spans="3:6">
      <c r="C1008" s="3">
        <v>44491</v>
      </c>
      <c r="D1008">
        <v>410.05</v>
      </c>
      <c r="E1008">
        <v>140884</v>
      </c>
      <c r="F1008">
        <v>202936</v>
      </c>
    </row>
    <row r="1009" spans="3:6">
      <c r="C1009" s="3">
        <v>44490</v>
      </c>
      <c r="D1009">
        <v>407.83</v>
      </c>
      <c r="E1009">
        <v>220243</v>
      </c>
      <c r="F1009">
        <v>210734</v>
      </c>
    </row>
    <row r="1010" spans="3:6">
      <c r="C1010" s="3">
        <v>44489</v>
      </c>
      <c r="D1010">
        <v>410.64</v>
      </c>
      <c r="E1010">
        <v>204965</v>
      </c>
      <c r="F1010">
        <v>215657</v>
      </c>
    </row>
    <row r="1011" spans="3:6">
      <c r="C1011" s="3">
        <v>44488</v>
      </c>
      <c r="D1011">
        <v>415.45</v>
      </c>
      <c r="E1011">
        <v>129511</v>
      </c>
      <c r="F1011">
        <v>218215</v>
      </c>
    </row>
    <row r="1012" spans="3:6">
      <c r="C1012" s="3">
        <v>44487</v>
      </c>
      <c r="D1012">
        <v>415.22</v>
      </c>
      <c r="E1012">
        <v>142393</v>
      </c>
      <c r="F1012">
        <v>224811</v>
      </c>
    </row>
    <row r="1013" spans="3:6">
      <c r="C1013" s="3">
        <v>44484</v>
      </c>
      <c r="D1013">
        <v>409.8</v>
      </c>
      <c r="E1013">
        <v>285218</v>
      </c>
      <c r="F1013">
        <v>228010</v>
      </c>
    </row>
    <row r="1014" spans="3:6">
      <c r="C1014" s="3">
        <v>44483</v>
      </c>
      <c r="D1014">
        <v>408.23</v>
      </c>
      <c r="E1014">
        <v>205113</v>
      </c>
      <c r="F1014">
        <v>220711</v>
      </c>
    </row>
    <row r="1015" spans="3:6">
      <c r="C1015" s="3">
        <v>44482</v>
      </c>
      <c r="D1015">
        <v>397.26</v>
      </c>
      <c r="E1015">
        <v>209763</v>
      </c>
      <c r="F1015">
        <v>217959</v>
      </c>
    </row>
    <row r="1016" spans="3:6">
      <c r="C1016" s="3">
        <v>44481</v>
      </c>
      <c r="D1016">
        <v>399.16</v>
      </c>
      <c r="E1016">
        <v>162486</v>
      </c>
      <c r="F1016">
        <v>227136</v>
      </c>
    </row>
    <row r="1017" spans="3:6">
      <c r="C1017" s="3">
        <v>44480</v>
      </c>
      <c r="D1017">
        <v>394.54</v>
      </c>
      <c r="E1017">
        <v>197665</v>
      </c>
      <c r="F1017">
        <v>232262</v>
      </c>
    </row>
    <row r="1018" spans="3:6">
      <c r="C1018" s="3">
        <v>44477</v>
      </c>
      <c r="D1018">
        <v>400.96</v>
      </c>
      <c r="E1018">
        <v>155714</v>
      </c>
      <c r="F1018">
        <v>240841</v>
      </c>
    </row>
    <row r="1019" spans="3:6">
      <c r="C1019" s="3">
        <v>44476</v>
      </c>
      <c r="D1019">
        <v>406.45</v>
      </c>
      <c r="E1019">
        <v>246833</v>
      </c>
      <c r="F1019">
        <v>270123</v>
      </c>
    </row>
    <row r="1020" spans="3:6">
      <c r="C1020" s="3">
        <v>44475</v>
      </c>
      <c r="D1020">
        <v>400.16</v>
      </c>
      <c r="E1020">
        <v>295111</v>
      </c>
      <c r="F1020">
        <v>273009</v>
      </c>
    </row>
    <row r="1021" spans="3:6">
      <c r="C1021" s="3">
        <v>44474</v>
      </c>
      <c r="D1021">
        <v>395.77</v>
      </c>
      <c r="E1021">
        <v>257808</v>
      </c>
      <c r="F1021">
        <v>274385</v>
      </c>
    </row>
    <row r="1022" spans="3:6">
      <c r="C1022" s="3">
        <v>44473</v>
      </c>
      <c r="D1022">
        <v>396.12</v>
      </c>
      <c r="E1022">
        <v>190328</v>
      </c>
      <c r="F1022">
        <v>269692</v>
      </c>
    </row>
    <row r="1023" spans="3:6">
      <c r="C1023" s="3">
        <v>44470</v>
      </c>
      <c r="D1023">
        <v>406.08</v>
      </c>
      <c r="E1023">
        <v>257857</v>
      </c>
      <c r="F1023">
        <v>267699</v>
      </c>
    </row>
    <row r="1024" spans="3:6">
      <c r="C1024" s="3">
        <v>44469</v>
      </c>
      <c r="D1024">
        <v>397.93</v>
      </c>
      <c r="E1024">
        <v>294093</v>
      </c>
      <c r="F1024">
        <v>262362</v>
      </c>
    </row>
    <row r="1025" spans="3:6">
      <c r="C1025" s="3">
        <v>44468</v>
      </c>
      <c r="D1025">
        <v>399.75</v>
      </c>
      <c r="E1025">
        <v>243338</v>
      </c>
      <c r="F1025">
        <v>253584</v>
      </c>
    </row>
    <row r="1026" spans="3:6">
      <c r="C1026" s="3">
        <v>44467</v>
      </c>
      <c r="D1026">
        <v>404.42</v>
      </c>
      <c r="E1026">
        <v>228438</v>
      </c>
      <c r="F1026">
        <v>249398</v>
      </c>
    </row>
    <row r="1027" spans="3:6">
      <c r="C1027" s="3">
        <v>44466</v>
      </c>
      <c r="D1027">
        <v>416.36</v>
      </c>
      <c r="E1027">
        <v>190378</v>
      </c>
      <c r="F1027">
        <v>244209</v>
      </c>
    </row>
    <row r="1028" spans="3:6">
      <c r="C1028" s="3">
        <v>44463</v>
      </c>
      <c r="D1028">
        <v>419.31</v>
      </c>
      <c r="E1028">
        <v>175746</v>
      </c>
      <c r="F1028">
        <v>241113</v>
      </c>
    </row>
    <row r="1029" spans="3:6">
      <c r="C1029" s="3">
        <v>44462</v>
      </c>
      <c r="D1029">
        <v>423.35</v>
      </c>
      <c r="E1029">
        <v>163820</v>
      </c>
      <c r="F1029">
        <v>242085</v>
      </c>
    </row>
    <row r="1030" spans="3:6">
      <c r="C1030" s="3">
        <v>44461</v>
      </c>
      <c r="D1030">
        <v>417.96</v>
      </c>
      <c r="E1030">
        <v>347423</v>
      </c>
      <c r="F1030">
        <v>250429</v>
      </c>
    </row>
    <row r="1031" spans="3:6">
      <c r="C1031" s="3">
        <v>44460</v>
      </c>
      <c r="D1031">
        <v>419.82</v>
      </c>
      <c r="E1031">
        <v>239385</v>
      </c>
      <c r="F1031">
        <v>246745</v>
      </c>
    </row>
    <row r="1032" spans="3:6">
      <c r="C1032" s="3">
        <v>44459</v>
      </c>
      <c r="D1032">
        <v>426.56</v>
      </c>
      <c r="E1032">
        <v>326345</v>
      </c>
      <c r="F1032">
        <v>241876</v>
      </c>
    </row>
    <row r="1033" spans="3:6">
      <c r="C1033" s="3">
        <v>44456</v>
      </c>
      <c r="D1033">
        <v>434.25</v>
      </c>
      <c r="E1033">
        <v>594948</v>
      </c>
      <c r="F1033">
        <v>235958</v>
      </c>
    </row>
    <row r="1034" spans="3:6">
      <c r="C1034" s="3">
        <v>44455</v>
      </c>
      <c r="D1034">
        <v>444.44</v>
      </c>
      <c r="E1034">
        <v>290110</v>
      </c>
      <c r="F1034">
        <v>209894</v>
      </c>
    </row>
    <row r="1035" spans="3:6">
      <c r="C1035" s="3">
        <v>44454</v>
      </c>
      <c r="D1035">
        <v>440.5</v>
      </c>
      <c r="E1035">
        <v>315756</v>
      </c>
      <c r="F1035">
        <v>207194</v>
      </c>
    </row>
    <row r="1036" spans="3:6">
      <c r="C1036" s="3">
        <v>44453</v>
      </c>
      <c r="D1036">
        <v>439.27</v>
      </c>
      <c r="E1036">
        <v>187421</v>
      </c>
      <c r="F1036">
        <v>199247</v>
      </c>
    </row>
    <row r="1037" spans="3:6">
      <c r="C1037" s="3">
        <v>44452</v>
      </c>
      <c r="D1037">
        <v>444.35</v>
      </c>
      <c r="E1037">
        <v>160423</v>
      </c>
      <c r="F1037">
        <v>203920</v>
      </c>
    </row>
    <row r="1038" spans="3:6">
      <c r="C1038" s="3">
        <v>44449</v>
      </c>
      <c r="D1038">
        <v>451.38</v>
      </c>
      <c r="E1038">
        <v>177808</v>
      </c>
      <c r="F1038">
        <v>207667</v>
      </c>
    </row>
    <row r="1039" spans="3:6">
      <c r="C1039" s="3">
        <v>44448</v>
      </c>
      <c r="D1039">
        <v>461.59</v>
      </c>
      <c r="E1039">
        <v>162416</v>
      </c>
      <c r="F1039">
        <v>211890</v>
      </c>
    </row>
    <row r="1040" spans="3:6">
      <c r="C1040" s="3">
        <v>44447</v>
      </c>
      <c r="D1040">
        <v>462.64</v>
      </c>
      <c r="E1040">
        <v>180552</v>
      </c>
      <c r="F1040">
        <v>219366</v>
      </c>
    </row>
    <row r="1041" spans="3:6">
      <c r="C1041" s="3">
        <v>44446</v>
      </c>
      <c r="D1041">
        <v>462.29</v>
      </c>
      <c r="E1041">
        <v>150603</v>
      </c>
      <c r="F1041">
        <v>227861</v>
      </c>
    </row>
    <row r="1042" spans="3:6">
      <c r="C1042" s="3">
        <v>44442</v>
      </c>
      <c r="D1042">
        <v>467.23</v>
      </c>
      <c r="E1042">
        <v>143937</v>
      </c>
      <c r="F1042">
        <v>238324</v>
      </c>
    </row>
    <row r="1043" spans="3:6">
      <c r="C1043" s="3">
        <v>44441</v>
      </c>
      <c r="D1043">
        <v>471.97</v>
      </c>
      <c r="E1043">
        <v>190327</v>
      </c>
      <c r="F1043">
        <v>253611</v>
      </c>
    </row>
    <row r="1044" spans="3:6">
      <c r="C1044" s="3">
        <v>44440</v>
      </c>
      <c r="D1044">
        <v>468.98</v>
      </c>
      <c r="E1044">
        <v>288983</v>
      </c>
      <c r="F1044">
        <v>266819</v>
      </c>
    </row>
    <row r="1045" spans="3:6">
      <c r="C1045" s="3">
        <v>44439</v>
      </c>
      <c r="D1045">
        <v>459.74</v>
      </c>
      <c r="E1045">
        <v>292154</v>
      </c>
      <c r="F1045">
        <v>264257</v>
      </c>
    </row>
    <row r="1046" spans="3:6">
      <c r="C1046" s="3">
        <v>44438</v>
      </c>
      <c r="D1046">
        <v>455.14</v>
      </c>
      <c r="E1046">
        <v>166354</v>
      </c>
      <c r="F1046">
        <v>273293</v>
      </c>
    </row>
    <row r="1047" spans="3:6">
      <c r="C1047" s="3">
        <v>44435</v>
      </c>
      <c r="D1047">
        <v>459.5</v>
      </c>
      <c r="E1047">
        <v>237575</v>
      </c>
      <c r="F1047">
        <v>279190</v>
      </c>
    </row>
    <row r="1048" spans="3:6">
      <c r="C1048" s="3">
        <v>44434</v>
      </c>
      <c r="D1048">
        <v>450.55</v>
      </c>
      <c r="E1048">
        <v>203985</v>
      </c>
      <c r="F1048">
        <v>284852</v>
      </c>
    </row>
    <row r="1049" spans="3:6">
      <c r="C1049" s="3">
        <v>44433</v>
      </c>
      <c r="D1049">
        <v>458.15</v>
      </c>
      <c r="E1049">
        <v>249614</v>
      </c>
      <c r="F1049">
        <v>298576</v>
      </c>
    </row>
    <row r="1050" spans="3:6">
      <c r="C1050" s="3">
        <v>44432</v>
      </c>
      <c r="D1050">
        <v>454.28</v>
      </c>
      <c r="E1050">
        <v>196548</v>
      </c>
      <c r="F1050">
        <v>322840</v>
      </c>
    </row>
    <row r="1051" spans="3:6">
      <c r="C1051" s="3">
        <v>44431</v>
      </c>
      <c r="D1051">
        <v>448.43</v>
      </c>
      <c r="E1051">
        <v>257521</v>
      </c>
      <c r="F1051">
        <v>350586</v>
      </c>
    </row>
    <row r="1052" spans="3:6">
      <c r="C1052" s="3">
        <v>44428</v>
      </c>
      <c r="D1052">
        <v>442.38</v>
      </c>
      <c r="E1052">
        <v>216623</v>
      </c>
      <c r="F1052">
        <v>346715</v>
      </c>
    </row>
    <row r="1053" spans="3:6">
      <c r="C1053" s="3">
        <v>44427</v>
      </c>
      <c r="D1053">
        <v>447.16</v>
      </c>
      <c r="E1053">
        <v>241163</v>
      </c>
      <c r="F1053">
        <v>342559</v>
      </c>
    </row>
    <row r="1054" spans="3:6">
      <c r="C1054" s="3">
        <v>44426</v>
      </c>
      <c r="D1054">
        <v>450.04</v>
      </c>
      <c r="E1054">
        <v>274544</v>
      </c>
      <c r="F1054">
        <v>342050</v>
      </c>
    </row>
    <row r="1055" spans="3:6">
      <c r="C1055" s="3">
        <v>44425</v>
      </c>
      <c r="D1055">
        <v>457.33</v>
      </c>
      <c r="E1055">
        <v>307991</v>
      </c>
      <c r="F1055">
        <v>333742</v>
      </c>
    </row>
    <row r="1056" spans="3:6">
      <c r="C1056" s="3">
        <v>44424</v>
      </c>
      <c r="D1056">
        <v>448.12</v>
      </c>
      <c r="E1056">
        <v>307534</v>
      </c>
      <c r="F1056">
        <v>328350</v>
      </c>
    </row>
    <row r="1057" spans="3:6">
      <c r="C1057" s="3">
        <v>44421</v>
      </c>
      <c r="D1057">
        <v>451.65</v>
      </c>
      <c r="E1057">
        <v>373249</v>
      </c>
      <c r="F1057">
        <v>320063</v>
      </c>
    </row>
    <row r="1058" spans="3:6">
      <c r="C1058" s="3">
        <v>44420</v>
      </c>
      <c r="D1058">
        <v>454.22</v>
      </c>
      <c r="E1058">
        <v>388450</v>
      </c>
      <c r="F1058">
        <v>305411</v>
      </c>
    </row>
    <row r="1059" spans="3:6">
      <c r="C1059" s="3">
        <v>44419</v>
      </c>
      <c r="D1059">
        <v>460.04</v>
      </c>
      <c r="E1059">
        <v>250552</v>
      </c>
      <c r="F1059">
        <v>290226</v>
      </c>
    </row>
    <row r="1060" spans="3:6">
      <c r="C1060" s="3">
        <v>44418</v>
      </c>
      <c r="D1060">
        <v>459.52</v>
      </c>
      <c r="E1060">
        <v>427690</v>
      </c>
      <c r="F1060">
        <v>284350</v>
      </c>
    </row>
    <row r="1061" spans="3:6">
      <c r="C1061" s="3">
        <v>44417</v>
      </c>
      <c r="D1061">
        <v>469.9</v>
      </c>
      <c r="E1061">
        <v>254811</v>
      </c>
      <c r="F1061">
        <v>268153</v>
      </c>
    </row>
    <row r="1062" spans="3:6">
      <c r="C1062" s="3">
        <v>44414</v>
      </c>
      <c r="D1062">
        <v>477.61</v>
      </c>
      <c r="E1062">
        <v>322498</v>
      </c>
      <c r="F1062">
        <v>260145</v>
      </c>
    </row>
    <row r="1063" spans="3:6">
      <c r="C1063" s="3">
        <v>44413</v>
      </c>
      <c r="D1063">
        <v>487</v>
      </c>
      <c r="E1063">
        <v>409857</v>
      </c>
      <c r="F1063">
        <v>246207</v>
      </c>
    </row>
    <row r="1064" spans="3:6">
      <c r="C1064" s="3">
        <v>44412</v>
      </c>
      <c r="D1064">
        <v>501.31</v>
      </c>
      <c r="E1064">
        <v>613567</v>
      </c>
      <c r="F1064">
        <v>229270</v>
      </c>
    </row>
    <row r="1065" spans="3:6">
      <c r="C1065" s="3">
        <v>44411</v>
      </c>
      <c r="D1065">
        <v>513.61</v>
      </c>
      <c r="E1065">
        <v>612739</v>
      </c>
      <c r="F1065">
        <v>199380</v>
      </c>
    </row>
    <row r="1066" spans="3:6">
      <c r="C1066" s="3">
        <v>44410</v>
      </c>
      <c r="D1066">
        <v>526.04999999999995</v>
      </c>
      <c r="E1066">
        <v>199457</v>
      </c>
      <c r="F1066">
        <v>165379</v>
      </c>
    </row>
    <row r="1067" spans="3:6">
      <c r="C1067" s="3">
        <v>44407</v>
      </c>
      <c r="D1067">
        <v>523.91</v>
      </c>
      <c r="E1067">
        <v>154283</v>
      </c>
      <c r="F1067">
        <v>162096</v>
      </c>
    </row>
    <row r="1068" spans="3:6">
      <c r="C1068" s="3">
        <v>44406</v>
      </c>
      <c r="D1068">
        <v>527.78</v>
      </c>
      <c r="E1068">
        <v>233522</v>
      </c>
      <c r="F1068">
        <v>159487</v>
      </c>
    </row>
    <row r="1069" spans="3:6">
      <c r="C1069" s="3">
        <v>44405</v>
      </c>
      <c r="D1069">
        <v>527.46</v>
      </c>
      <c r="E1069">
        <v>149934</v>
      </c>
      <c r="F1069">
        <v>158768</v>
      </c>
    </row>
    <row r="1070" spans="3:6">
      <c r="C1070" s="3">
        <v>44404</v>
      </c>
      <c r="D1070">
        <v>529.79</v>
      </c>
      <c r="E1070">
        <v>227109</v>
      </c>
      <c r="F1070">
        <v>158817</v>
      </c>
    </row>
    <row r="1071" spans="3:6">
      <c r="C1071" s="3">
        <v>44403</v>
      </c>
      <c r="D1071">
        <v>539.94000000000005</v>
      </c>
      <c r="E1071">
        <v>183223</v>
      </c>
      <c r="F1071">
        <v>154813</v>
      </c>
    </row>
    <row r="1072" spans="3:6">
      <c r="C1072" s="3">
        <v>44400</v>
      </c>
      <c r="D1072">
        <v>552.88</v>
      </c>
      <c r="E1072">
        <v>153468</v>
      </c>
      <c r="F1072">
        <v>149897</v>
      </c>
    </row>
    <row r="1073" spans="3:6">
      <c r="C1073" s="3">
        <v>44399</v>
      </c>
      <c r="D1073">
        <v>550.24</v>
      </c>
      <c r="E1073">
        <v>160684</v>
      </c>
      <c r="F1073">
        <v>159505</v>
      </c>
    </row>
    <row r="1074" spans="3:6">
      <c r="C1074" s="3">
        <v>44398</v>
      </c>
      <c r="D1074">
        <v>540.83000000000004</v>
      </c>
      <c r="E1074">
        <v>162402</v>
      </c>
      <c r="F1074">
        <v>158489</v>
      </c>
    </row>
    <row r="1075" spans="3:6">
      <c r="C1075" s="3">
        <v>44397</v>
      </c>
      <c r="D1075">
        <v>533.29999999999995</v>
      </c>
      <c r="E1075">
        <v>184740</v>
      </c>
      <c r="F1075">
        <v>158010</v>
      </c>
    </row>
    <row r="1076" spans="3:6">
      <c r="C1076" s="3">
        <v>44396</v>
      </c>
      <c r="D1076">
        <v>521.88</v>
      </c>
      <c r="E1076">
        <v>134690</v>
      </c>
      <c r="F1076">
        <v>153317</v>
      </c>
    </row>
    <row r="1077" spans="3:6">
      <c r="C1077" s="3">
        <v>44393</v>
      </c>
      <c r="D1077">
        <v>523.92999999999995</v>
      </c>
      <c r="E1077">
        <v>113437</v>
      </c>
      <c r="F1077">
        <v>160757</v>
      </c>
    </row>
    <row r="1078" spans="3:6">
      <c r="C1078" s="3">
        <v>44392</v>
      </c>
      <c r="D1078">
        <v>519.33000000000004</v>
      </c>
      <c r="E1078">
        <v>155789</v>
      </c>
      <c r="F1078">
        <v>166075</v>
      </c>
    </row>
    <row r="1079" spans="3:6">
      <c r="C1079" s="3">
        <v>44391</v>
      </c>
      <c r="D1079">
        <v>521.62</v>
      </c>
      <c r="E1079">
        <v>165230</v>
      </c>
      <c r="F1079">
        <v>166490</v>
      </c>
    </row>
    <row r="1080" spans="3:6">
      <c r="C1080" s="3">
        <v>44390</v>
      </c>
      <c r="D1080">
        <v>516.99</v>
      </c>
      <c r="E1080">
        <v>102721</v>
      </c>
      <c r="F1080">
        <v>168599</v>
      </c>
    </row>
    <row r="1081" spans="3:6">
      <c r="C1081" s="3">
        <v>44389</v>
      </c>
      <c r="D1081">
        <v>517.70000000000005</v>
      </c>
      <c r="E1081">
        <v>150205</v>
      </c>
      <c r="F1081">
        <v>176386</v>
      </c>
    </row>
    <row r="1082" spans="3:6">
      <c r="C1082" s="3">
        <v>44386</v>
      </c>
      <c r="D1082">
        <v>524.04999999999995</v>
      </c>
      <c r="E1082">
        <v>115144</v>
      </c>
      <c r="F1082">
        <v>189606</v>
      </c>
    </row>
    <row r="1083" spans="3:6">
      <c r="C1083" s="3">
        <v>44385</v>
      </c>
      <c r="D1083">
        <v>515.07000000000005</v>
      </c>
      <c r="E1083">
        <v>222743</v>
      </c>
      <c r="F1083">
        <v>193968</v>
      </c>
    </row>
    <row r="1084" spans="3:6">
      <c r="C1084" s="3">
        <v>44384</v>
      </c>
      <c r="D1084">
        <v>521.37</v>
      </c>
      <c r="E1084">
        <v>150677</v>
      </c>
      <c r="F1084">
        <v>189278</v>
      </c>
    </row>
    <row r="1085" spans="3:6">
      <c r="C1085" s="3">
        <v>44383</v>
      </c>
      <c r="D1085">
        <v>516.71</v>
      </c>
      <c r="E1085">
        <v>167044</v>
      </c>
      <c r="F1085">
        <v>189073</v>
      </c>
    </row>
    <row r="1086" spans="3:6">
      <c r="C1086" s="3">
        <v>44379</v>
      </c>
      <c r="D1086">
        <v>507.81</v>
      </c>
      <c r="E1086">
        <v>109474</v>
      </c>
      <c r="F1086">
        <v>191016</v>
      </c>
    </row>
    <row r="1087" spans="3:6">
      <c r="C1087" s="3">
        <v>44378</v>
      </c>
      <c r="D1087">
        <v>500.32</v>
      </c>
      <c r="E1087">
        <v>297588</v>
      </c>
      <c r="F1087">
        <v>190608</v>
      </c>
    </row>
    <row r="1088" spans="3:6">
      <c r="C1088" s="3">
        <v>44377</v>
      </c>
      <c r="D1088">
        <v>502.68</v>
      </c>
      <c r="E1088">
        <v>145444</v>
      </c>
      <c r="F1088">
        <v>177002</v>
      </c>
    </row>
    <row r="1089" spans="3:6">
      <c r="C1089" s="3">
        <v>44376</v>
      </c>
      <c r="D1089">
        <v>511.77</v>
      </c>
      <c r="E1089">
        <v>155220</v>
      </c>
      <c r="F1089">
        <v>175261</v>
      </c>
    </row>
    <row r="1090" spans="3:6">
      <c r="C1090" s="3">
        <v>44375</v>
      </c>
      <c r="D1090">
        <v>506.37</v>
      </c>
      <c r="E1090">
        <v>114350</v>
      </c>
      <c r="F1090">
        <v>179937</v>
      </c>
    </row>
    <row r="1091" spans="3:6">
      <c r="C1091" s="3">
        <v>44372</v>
      </c>
      <c r="D1091">
        <v>500.98</v>
      </c>
      <c r="E1091">
        <v>246287</v>
      </c>
      <c r="F1091">
        <v>179542</v>
      </c>
    </row>
    <row r="1092" spans="3:6">
      <c r="C1092" s="3">
        <v>44371</v>
      </c>
      <c r="D1092">
        <v>501.01</v>
      </c>
      <c r="E1092">
        <v>193204</v>
      </c>
      <c r="F1092">
        <v>171790</v>
      </c>
    </row>
    <row r="1093" spans="3:6">
      <c r="C1093" s="3">
        <v>44370</v>
      </c>
      <c r="D1093">
        <v>496.96</v>
      </c>
      <c r="E1093">
        <v>162018</v>
      </c>
      <c r="F1093">
        <v>168239</v>
      </c>
    </row>
    <row r="1094" spans="3:6">
      <c r="C1094" s="3">
        <v>44369</v>
      </c>
      <c r="D1094">
        <v>506.02</v>
      </c>
      <c r="E1094">
        <v>196865</v>
      </c>
      <c r="F1094">
        <v>172796</v>
      </c>
    </row>
    <row r="1095" spans="3:6">
      <c r="C1095" s="3">
        <v>44368</v>
      </c>
      <c r="D1095">
        <v>506.32</v>
      </c>
      <c r="E1095">
        <v>219531</v>
      </c>
      <c r="F1095">
        <v>177281</v>
      </c>
    </row>
    <row r="1096" spans="3:6">
      <c r="C1096" s="3">
        <v>44365</v>
      </c>
      <c r="D1096">
        <v>502.35</v>
      </c>
      <c r="E1096">
        <v>348504</v>
      </c>
      <c r="F1096">
        <v>173146</v>
      </c>
    </row>
    <row r="1097" spans="3:6">
      <c r="C1097" s="3">
        <v>44364</v>
      </c>
      <c r="D1097">
        <v>500.94</v>
      </c>
      <c r="E1097">
        <v>180578</v>
      </c>
      <c r="F1097">
        <v>160686</v>
      </c>
    </row>
    <row r="1098" spans="3:6">
      <c r="C1098" s="3">
        <v>44363</v>
      </c>
      <c r="D1098">
        <v>493.6</v>
      </c>
      <c r="E1098">
        <v>152389</v>
      </c>
      <c r="F1098">
        <v>155742</v>
      </c>
    </row>
    <row r="1099" spans="3:6">
      <c r="C1099" s="3">
        <v>44362</v>
      </c>
      <c r="D1099">
        <v>499.52</v>
      </c>
      <c r="E1099">
        <v>147602</v>
      </c>
      <c r="F1099">
        <v>156715</v>
      </c>
    </row>
    <row r="1100" spans="3:6">
      <c r="C1100" s="3">
        <v>44361</v>
      </c>
      <c r="D1100">
        <v>505.6</v>
      </c>
      <c r="E1100">
        <v>196181</v>
      </c>
      <c r="F1100">
        <v>157071</v>
      </c>
    </row>
    <row r="1101" spans="3:6">
      <c r="C1101" s="3">
        <v>44358</v>
      </c>
      <c r="D1101">
        <v>504.78</v>
      </c>
      <c r="E1101">
        <v>103354</v>
      </c>
      <c r="F1101">
        <v>154172</v>
      </c>
    </row>
    <row r="1102" spans="3:6">
      <c r="C1102" s="3">
        <v>44357</v>
      </c>
      <c r="D1102">
        <v>496.42</v>
      </c>
      <c r="E1102">
        <v>93500</v>
      </c>
      <c r="F1102">
        <v>159036</v>
      </c>
    </row>
    <row r="1103" spans="3:6">
      <c r="C1103" s="3">
        <v>44356</v>
      </c>
      <c r="D1103">
        <v>491.19</v>
      </c>
      <c r="E1103">
        <v>119337</v>
      </c>
      <c r="F1103">
        <v>161487</v>
      </c>
    </row>
    <row r="1104" spans="3:6">
      <c r="C1104" s="3">
        <v>44355</v>
      </c>
      <c r="D1104">
        <v>488.17</v>
      </c>
      <c r="E1104">
        <v>225350</v>
      </c>
      <c r="F1104">
        <v>166307</v>
      </c>
    </row>
    <row r="1105" spans="3:6">
      <c r="C1105" s="3">
        <v>44354</v>
      </c>
      <c r="D1105">
        <v>484.71</v>
      </c>
      <c r="E1105">
        <v>108427</v>
      </c>
      <c r="F1105">
        <v>161302</v>
      </c>
    </row>
    <row r="1106" spans="3:6">
      <c r="C1106" s="3">
        <v>44351</v>
      </c>
      <c r="D1106">
        <v>490.34</v>
      </c>
      <c r="E1106">
        <v>130010</v>
      </c>
      <c r="F1106">
        <v>165302</v>
      </c>
    </row>
    <row r="1107" spans="3:6">
      <c r="C1107" s="3">
        <v>44350</v>
      </c>
      <c r="D1107">
        <v>479.76</v>
      </c>
      <c r="E1107">
        <v>139936</v>
      </c>
      <c r="F1107">
        <v>172992</v>
      </c>
    </row>
    <row r="1108" spans="3:6">
      <c r="C1108" s="3">
        <v>44349</v>
      </c>
      <c r="D1108">
        <v>494.69</v>
      </c>
      <c r="E1108">
        <v>230376</v>
      </c>
      <c r="F1108">
        <v>175073</v>
      </c>
    </row>
    <row r="1109" spans="3:6">
      <c r="C1109" s="3">
        <v>44348</v>
      </c>
      <c r="D1109">
        <v>498.96</v>
      </c>
      <c r="E1109">
        <v>264137</v>
      </c>
      <c r="F1109">
        <v>170309</v>
      </c>
    </row>
    <row r="1110" spans="3:6">
      <c r="C1110" s="3">
        <v>44344</v>
      </c>
      <c r="D1110">
        <v>506.06</v>
      </c>
      <c r="E1110">
        <v>157512</v>
      </c>
      <c r="F1110">
        <v>167155</v>
      </c>
    </row>
    <row r="1111" spans="3:6">
      <c r="C1111" s="3">
        <v>44343</v>
      </c>
      <c r="D1111">
        <v>501.65</v>
      </c>
      <c r="E1111">
        <v>161598</v>
      </c>
      <c r="F1111">
        <v>163452</v>
      </c>
    </row>
    <row r="1112" spans="3:6">
      <c r="C1112" s="3">
        <v>44342</v>
      </c>
      <c r="D1112">
        <v>503.51</v>
      </c>
      <c r="E1112">
        <v>106421</v>
      </c>
      <c r="F1112">
        <v>172878</v>
      </c>
    </row>
    <row r="1113" spans="3:6">
      <c r="C1113" s="3">
        <v>44341</v>
      </c>
      <c r="D1113">
        <v>506.6</v>
      </c>
      <c r="E1113">
        <v>166990</v>
      </c>
      <c r="F1113">
        <v>182321</v>
      </c>
    </row>
    <row r="1114" spans="3:6">
      <c r="C1114" s="3">
        <v>44340</v>
      </c>
      <c r="D1114">
        <v>500.3</v>
      </c>
      <c r="E1114">
        <v>152941</v>
      </c>
      <c r="F1114">
        <v>178474</v>
      </c>
    </row>
    <row r="1115" spans="3:6">
      <c r="C1115" s="3">
        <v>44337</v>
      </c>
      <c r="D1115">
        <v>491.73</v>
      </c>
      <c r="E1115">
        <v>152693</v>
      </c>
      <c r="F1115">
        <v>175524</v>
      </c>
    </row>
    <row r="1116" spans="3:6">
      <c r="C1116" s="3">
        <v>44336</v>
      </c>
      <c r="D1116">
        <v>501.24</v>
      </c>
      <c r="E1116">
        <v>176307</v>
      </c>
      <c r="F1116">
        <v>176127</v>
      </c>
    </row>
    <row r="1117" spans="3:6">
      <c r="C1117" s="3">
        <v>44335</v>
      </c>
      <c r="D1117">
        <v>483.77</v>
      </c>
      <c r="E1117">
        <v>130271</v>
      </c>
      <c r="F1117">
        <v>171204</v>
      </c>
    </row>
    <row r="1118" spans="3:6">
      <c r="C1118" s="3">
        <v>44334</v>
      </c>
      <c r="D1118">
        <v>489.92</v>
      </c>
      <c r="E1118">
        <v>191643</v>
      </c>
      <c r="F1118">
        <v>171019</v>
      </c>
    </row>
    <row r="1119" spans="3:6">
      <c r="C1119" s="3">
        <v>44333</v>
      </c>
      <c r="D1119">
        <v>490.19</v>
      </c>
      <c r="E1119">
        <v>150271</v>
      </c>
      <c r="F1119">
        <v>165595</v>
      </c>
    </row>
    <row r="1120" spans="3:6">
      <c r="C1120" s="3">
        <v>44330</v>
      </c>
      <c r="D1120">
        <v>491.41</v>
      </c>
      <c r="E1120">
        <v>168429</v>
      </c>
      <c r="F1120">
        <v>165964</v>
      </c>
    </row>
    <row r="1121" spans="3:6">
      <c r="C1121" s="3">
        <v>44329</v>
      </c>
      <c r="D1121">
        <v>475.78</v>
      </c>
      <c r="E1121">
        <v>245350</v>
      </c>
      <c r="F1121">
        <v>171737</v>
      </c>
    </row>
    <row r="1122" spans="3:6">
      <c r="C1122" s="3">
        <v>44328</v>
      </c>
      <c r="D1122">
        <v>466.16</v>
      </c>
      <c r="E1122">
        <v>171153</v>
      </c>
      <c r="F1122">
        <v>165286</v>
      </c>
    </row>
    <row r="1123" spans="3:6">
      <c r="C1123" s="3">
        <v>44327</v>
      </c>
      <c r="D1123">
        <v>487.06</v>
      </c>
      <c r="E1123">
        <v>158915</v>
      </c>
      <c r="F1123">
        <v>159968</v>
      </c>
    </row>
    <row r="1124" spans="3:6">
      <c r="C1124" s="3">
        <v>44326</v>
      </c>
      <c r="D1124">
        <v>492.9</v>
      </c>
      <c r="E1124">
        <v>216829</v>
      </c>
      <c r="F1124">
        <v>158115</v>
      </c>
    </row>
    <row r="1125" spans="3:6">
      <c r="C1125" s="3">
        <v>44323</v>
      </c>
      <c r="D1125">
        <v>496.17</v>
      </c>
      <c r="E1125">
        <v>101964</v>
      </c>
      <c r="F1125">
        <v>151869</v>
      </c>
    </row>
    <row r="1126" spans="3:6">
      <c r="C1126" s="3">
        <v>44322</v>
      </c>
      <c r="D1126">
        <v>494.21</v>
      </c>
      <c r="E1126">
        <v>302999</v>
      </c>
      <c r="F1126">
        <v>156036</v>
      </c>
    </row>
    <row r="1127" spans="3:6">
      <c r="C1127" s="3">
        <v>44321</v>
      </c>
      <c r="D1127">
        <v>496.36</v>
      </c>
      <c r="E1127">
        <v>248061</v>
      </c>
      <c r="F1127">
        <v>146772</v>
      </c>
    </row>
    <row r="1128" spans="3:6">
      <c r="C1128" s="3">
        <v>44320</v>
      </c>
      <c r="D1128">
        <v>507.24</v>
      </c>
      <c r="E1128">
        <v>109279</v>
      </c>
      <c r="F1128">
        <v>136397</v>
      </c>
    </row>
    <row r="1129" spans="3:6">
      <c r="C1129" s="3">
        <v>44319</v>
      </c>
      <c r="D1129">
        <v>515.75</v>
      </c>
      <c r="E1129">
        <v>108693</v>
      </c>
      <c r="F1129">
        <v>136311</v>
      </c>
    </row>
    <row r="1130" spans="3:6">
      <c r="C1130" s="3">
        <v>44316</v>
      </c>
      <c r="D1130">
        <v>521.41</v>
      </c>
      <c r="E1130">
        <v>161737</v>
      </c>
      <c r="F1130">
        <v>137254</v>
      </c>
    </row>
    <row r="1131" spans="3:6">
      <c r="C1131" s="3">
        <v>44315</v>
      </c>
      <c r="D1131">
        <v>533</v>
      </c>
      <c r="E1131">
        <v>102468</v>
      </c>
      <c r="F1131">
        <v>134684</v>
      </c>
    </row>
    <row r="1132" spans="3:6">
      <c r="C1132" s="3">
        <v>44314</v>
      </c>
      <c r="D1132">
        <v>539.47</v>
      </c>
      <c r="E1132">
        <v>127497</v>
      </c>
      <c r="F1132">
        <v>142806</v>
      </c>
    </row>
    <row r="1133" spans="3:6">
      <c r="C1133" s="3">
        <v>44313</v>
      </c>
      <c r="D1133">
        <v>542.54999999999995</v>
      </c>
      <c r="E1133">
        <v>110275</v>
      </c>
      <c r="F1133">
        <v>142166</v>
      </c>
    </row>
    <row r="1134" spans="3:6">
      <c r="C1134" s="3">
        <v>44312</v>
      </c>
      <c r="D1134">
        <v>544.41999999999996</v>
      </c>
      <c r="E1134">
        <v>155810</v>
      </c>
      <c r="F1134">
        <v>146123</v>
      </c>
    </row>
    <row r="1135" spans="3:6">
      <c r="C1135" s="3">
        <v>44309</v>
      </c>
      <c r="D1135">
        <v>542.49</v>
      </c>
      <c r="E1135">
        <v>255026</v>
      </c>
      <c r="F1135">
        <v>151332</v>
      </c>
    </row>
    <row r="1136" spans="3:6">
      <c r="C1136" s="3">
        <v>44308</v>
      </c>
      <c r="D1136">
        <v>534.01</v>
      </c>
      <c r="E1136">
        <v>148587</v>
      </c>
      <c r="F1136">
        <v>150960</v>
      </c>
    </row>
    <row r="1137" spans="3:6">
      <c r="C1137" s="3">
        <v>44307</v>
      </c>
      <c r="D1137">
        <v>527.64</v>
      </c>
      <c r="E1137">
        <v>91375</v>
      </c>
      <c r="F1137">
        <v>160369</v>
      </c>
    </row>
    <row r="1138" spans="3:6">
      <c r="C1138" s="3">
        <v>44306</v>
      </c>
      <c r="D1138">
        <v>523.6</v>
      </c>
      <c r="E1138">
        <v>131119</v>
      </c>
      <c r="F1138">
        <v>166959</v>
      </c>
    </row>
    <row r="1139" spans="3:6">
      <c r="C1139" s="3">
        <v>44305</v>
      </c>
      <c r="D1139">
        <v>529.99</v>
      </c>
      <c r="E1139">
        <v>123140</v>
      </c>
      <c r="F1139">
        <v>169579</v>
      </c>
    </row>
    <row r="1140" spans="3:6">
      <c r="C1140" s="3">
        <v>44302</v>
      </c>
      <c r="D1140">
        <v>532.95000000000005</v>
      </c>
      <c r="E1140">
        <v>164472</v>
      </c>
      <c r="F1140">
        <v>181738</v>
      </c>
    </row>
    <row r="1141" spans="3:6">
      <c r="C1141" s="3">
        <v>44301</v>
      </c>
      <c r="D1141">
        <v>530.91</v>
      </c>
      <c r="E1141">
        <v>164037</v>
      </c>
      <c r="F1141">
        <v>181451</v>
      </c>
    </row>
    <row r="1142" spans="3:6">
      <c r="C1142" s="3">
        <v>44300</v>
      </c>
      <c r="D1142">
        <v>521.57000000000005</v>
      </c>
      <c r="E1142">
        <v>92445</v>
      </c>
      <c r="F1142">
        <v>185383</v>
      </c>
    </row>
    <row r="1143" spans="3:6">
      <c r="C1143" s="3">
        <v>44299</v>
      </c>
      <c r="D1143">
        <v>524.78</v>
      </c>
      <c r="E1143">
        <v>107987</v>
      </c>
      <c r="F1143">
        <v>193804</v>
      </c>
    </row>
    <row r="1144" spans="3:6">
      <c r="C1144" s="3">
        <v>44298</v>
      </c>
      <c r="D1144">
        <v>525.11</v>
      </c>
      <c r="E1144">
        <v>122829</v>
      </c>
      <c r="F1144">
        <v>196338</v>
      </c>
    </row>
    <row r="1145" spans="3:6">
      <c r="C1145" s="3">
        <v>44295</v>
      </c>
      <c r="D1145">
        <v>518.35</v>
      </c>
      <c r="E1145">
        <v>123187</v>
      </c>
      <c r="F1145">
        <v>215809</v>
      </c>
    </row>
    <row r="1146" spans="3:6">
      <c r="C1146" s="3">
        <v>44294</v>
      </c>
      <c r="D1146">
        <v>513.74</v>
      </c>
      <c r="E1146">
        <v>224300</v>
      </c>
      <c r="F1146">
        <v>227179</v>
      </c>
    </row>
    <row r="1147" spans="3:6">
      <c r="C1147" s="3">
        <v>44293</v>
      </c>
      <c r="D1147">
        <v>501.48</v>
      </c>
      <c r="E1147">
        <v>117900</v>
      </c>
      <c r="F1147">
        <v>222585</v>
      </c>
    </row>
    <row r="1148" spans="3:6">
      <c r="C1148" s="3">
        <v>44292</v>
      </c>
      <c r="D1148">
        <v>505.01</v>
      </c>
      <c r="E1148">
        <v>169638</v>
      </c>
      <c r="F1148">
        <v>227638</v>
      </c>
    </row>
    <row r="1149" spans="3:6">
      <c r="C1149" s="3">
        <v>44291</v>
      </c>
      <c r="D1149">
        <v>498.79</v>
      </c>
      <c r="E1149">
        <v>233932</v>
      </c>
      <c r="F1149">
        <v>228736</v>
      </c>
    </row>
    <row r="1150" spans="3:6">
      <c r="C1150" s="3">
        <v>44287</v>
      </c>
      <c r="D1150">
        <v>500.95</v>
      </c>
      <c r="E1150">
        <v>249452</v>
      </c>
      <c r="F1150">
        <v>224141</v>
      </c>
    </row>
    <row r="1151" spans="3:6">
      <c r="C1151" s="3">
        <v>44286</v>
      </c>
      <c r="D1151">
        <v>486.05</v>
      </c>
      <c r="E1151">
        <v>289720</v>
      </c>
      <c r="F1151">
        <v>223331</v>
      </c>
    </row>
    <row r="1152" spans="3:6">
      <c r="C1152" s="3">
        <v>44285</v>
      </c>
      <c r="D1152">
        <v>484</v>
      </c>
      <c r="E1152">
        <v>190220</v>
      </c>
      <c r="F1152">
        <v>217916</v>
      </c>
    </row>
    <row r="1153" spans="3:6">
      <c r="C1153" s="3">
        <v>44284</v>
      </c>
      <c r="D1153">
        <v>485.14</v>
      </c>
      <c r="E1153">
        <v>170426</v>
      </c>
      <c r="F1153">
        <v>223091</v>
      </c>
    </row>
    <row r="1154" spans="3:6">
      <c r="C1154" s="3">
        <v>44281</v>
      </c>
      <c r="D1154">
        <v>492.91</v>
      </c>
      <c r="E1154">
        <v>305530</v>
      </c>
      <c r="F1154">
        <v>225739</v>
      </c>
    </row>
    <row r="1155" spans="3:6">
      <c r="C1155" s="3">
        <v>44280</v>
      </c>
      <c r="D1155">
        <v>479.48</v>
      </c>
      <c r="E1155">
        <v>160162</v>
      </c>
      <c r="F1155">
        <v>223911</v>
      </c>
    </row>
    <row r="1156" spans="3:6">
      <c r="C1156" s="3">
        <v>44279</v>
      </c>
      <c r="D1156">
        <v>475.39</v>
      </c>
      <c r="E1156">
        <v>223019</v>
      </c>
      <c r="F1156">
        <v>229268</v>
      </c>
    </row>
    <row r="1157" spans="3:6">
      <c r="C1157" s="3">
        <v>44278</v>
      </c>
      <c r="D1157">
        <v>471.93</v>
      </c>
      <c r="E1157">
        <v>218760</v>
      </c>
      <c r="F1157">
        <v>228878</v>
      </c>
    </row>
    <row r="1158" spans="3:6">
      <c r="C1158" s="3">
        <v>44277</v>
      </c>
      <c r="D1158">
        <v>471.8</v>
      </c>
      <c r="E1158">
        <v>145989</v>
      </c>
      <c r="F1158">
        <v>223521</v>
      </c>
    </row>
    <row r="1159" spans="3:6">
      <c r="C1159" s="3">
        <v>44274</v>
      </c>
      <c r="D1159">
        <v>458.87</v>
      </c>
      <c r="E1159">
        <v>414897</v>
      </c>
      <c r="F1159">
        <v>226611</v>
      </c>
    </row>
    <row r="1160" spans="3:6">
      <c r="C1160" s="3">
        <v>44273</v>
      </c>
      <c r="D1160">
        <v>461.62</v>
      </c>
      <c r="E1160">
        <v>293734</v>
      </c>
      <c r="F1160">
        <v>220888</v>
      </c>
    </row>
    <row r="1161" spans="3:6">
      <c r="C1161" s="3">
        <v>44272</v>
      </c>
      <c r="D1161">
        <v>483.52</v>
      </c>
      <c r="E1161">
        <v>155399</v>
      </c>
      <c r="F1161">
        <v>221618</v>
      </c>
    </row>
    <row r="1162" spans="3:6">
      <c r="C1162" s="3">
        <v>44271</v>
      </c>
      <c r="D1162">
        <v>480</v>
      </c>
      <c r="E1162">
        <v>193699</v>
      </c>
      <c r="F1162">
        <v>226094</v>
      </c>
    </row>
    <row r="1163" spans="3:6">
      <c r="C1163" s="3">
        <v>44270</v>
      </c>
      <c r="D1163">
        <v>486.47</v>
      </c>
      <c r="E1163">
        <v>186101</v>
      </c>
      <c r="F1163">
        <v>227973</v>
      </c>
    </row>
    <row r="1164" spans="3:6">
      <c r="C1164" s="3">
        <v>44267</v>
      </c>
      <c r="D1164">
        <v>464.33</v>
      </c>
      <c r="E1164">
        <v>165004</v>
      </c>
      <c r="F1164">
        <v>229060</v>
      </c>
    </row>
    <row r="1165" spans="3:6">
      <c r="C1165" s="3">
        <v>44266</v>
      </c>
      <c r="D1165">
        <v>469.09</v>
      </c>
      <c r="E1165">
        <v>237299</v>
      </c>
      <c r="F1165">
        <v>233105</v>
      </c>
    </row>
    <row r="1166" spans="3:6">
      <c r="C1166" s="3">
        <v>44265</v>
      </c>
      <c r="D1166">
        <v>458.73</v>
      </c>
      <c r="E1166">
        <v>208506</v>
      </c>
      <c r="F1166">
        <v>227921</v>
      </c>
    </row>
    <row r="1167" spans="3:6">
      <c r="C1167" s="3">
        <v>44264</v>
      </c>
      <c r="D1167">
        <v>457.17</v>
      </c>
      <c r="E1167">
        <v>267838</v>
      </c>
      <c r="F1167">
        <v>232076</v>
      </c>
    </row>
    <row r="1168" spans="3:6">
      <c r="C1168" s="3">
        <v>44263</v>
      </c>
      <c r="D1168">
        <v>429.86</v>
      </c>
      <c r="E1168">
        <v>210142</v>
      </c>
      <c r="F1168">
        <v>225765</v>
      </c>
    </row>
    <row r="1169" spans="3:6">
      <c r="C1169" s="3">
        <v>44260</v>
      </c>
      <c r="D1169">
        <v>444.74</v>
      </c>
      <c r="E1169">
        <v>278113</v>
      </c>
      <c r="F1169">
        <v>234718</v>
      </c>
    </row>
    <row r="1170" spans="3:6">
      <c r="C1170" s="3">
        <v>44259</v>
      </c>
      <c r="D1170">
        <v>439.27</v>
      </c>
      <c r="E1170">
        <v>240514</v>
      </c>
      <c r="F1170">
        <v>230550</v>
      </c>
    </row>
    <row r="1171" spans="3:6">
      <c r="C1171" s="3">
        <v>44258</v>
      </c>
      <c r="D1171">
        <v>455.13</v>
      </c>
      <c r="E1171">
        <v>217174</v>
      </c>
      <c r="F1171">
        <v>231514</v>
      </c>
    </row>
    <row r="1172" spans="3:6">
      <c r="C1172" s="3">
        <v>44257</v>
      </c>
      <c r="D1172">
        <v>466.38</v>
      </c>
      <c r="E1172">
        <v>138411</v>
      </c>
      <c r="F1172">
        <v>235364</v>
      </c>
    </row>
    <row r="1173" spans="3:6">
      <c r="C1173" s="3">
        <v>44256</v>
      </c>
      <c r="D1173">
        <v>471.95</v>
      </c>
      <c r="E1173">
        <v>192327</v>
      </c>
      <c r="F1173">
        <v>236835</v>
      </c>
    </row>
    <row r="1174" spans="3:6">
      <c r="C1174" s="3">
        <v>44253</v>
      </c>
      <c r="D1174">
        <v>457.55</v>
      </c>
      <c r="E1174">
        <v>329057</v>
      </c>
      <c r="F1174">
        <v>236714</v>
      </c>
    </row>
    <row r="1175" spans="3:6">
      <c r="C1175" s="3">
        <v>44252</v>
      </c>
      <c r="D1175">
        <v>448.25</v>
      </c>
      <c r="E1175">
        <v>304684</v>
      </c>
      <c r="F1175">
        <v>226569</v>
      </c>
    </row>
    <row r="1176" spans="3:6">
      <c r="C1176" s="3">
        <v>44251</v>
      </c>
      <c r="D1176">
        <v>465.06</v>
      </c>
      <c r="E1176">
        <v>222544</v>
      </c>
      <c r="F1176">
        <v>223074</v>
      </c>
    </row>
    <row r="1177" spans="3:6">
      <c r="C1177" s="3">
        <v>44250</v>
      </c>
      <c r="D1177">
        <v>458.57</v>
      </c>
      <c r="E1177">
        <v>221874</v>
      </c>
      <c r="F1177">
        <v>227120</v>
      </c>
    </row>
    <row r="1178" spans="3:6">
      <c r="C1178" s="3">
        <v>44249</v>
      </c>
      <c r="D1178">
        <v>459.34</v>
      </c>
      <c r="E1178">
        <v>202411</v>
      </c>
      <c r="F1178">
        <v>242757</v>
      </c>
    </row>
    <row r="1179" spans="3:6">
      <c r="C1179" s="3">
        <v>44246</v>
      </c>
      <c r="D1179">
        <v>473.82</v>
      </c>
      <c r="E1179">
        <v>225685</v>
      </c>
      <c r="F1179">
        <v>289586</v>
      </c>
    </row>
    <row r="1180" spans="3:6">
      <c r="C1180" s="3">
        <v>44245</v>
      </c>
      <c r="D1180">
        <v>473.09</v>
      </c>
      <c r="E1180">
        <v>159530</v>
      </c>
      <c r="F1180">
        <v>300165</v>
      </c>
    </row>
    <row r="1181" spans="3:6">
      <c r="C1181" s="3">
        <v>44244</v>
      </c>
      <c r="D1181">
        <v>469.24</v>
      </c>
      <c r="E1181">
        <v>270836</v>
      </c>
      <c r="F1181">
        <v>316543</v>
      </c>
    </row>
    <row r="1182" spans="3:6">
      <c r="C1182" s="3">
        <v>44243</v>
      </c>
      <c r="D1182">
        <v>466.13</v>
      </c>
      <c r="E1182">
        <v>173175</v>
      </c>
      <c r="F1182">
        <v>314329</v>
      </c>
    </row>
    <row r="1183" spans="3:6">
      <c r="C1183" s="3">
        <v>44239</v>
      </c>
      <c r="D1183">
        <v>473.78</v>
      </c>
      <c r="E1183">
        <v>344435</v>
      </c>
      <c r="F1183">
        <v>325523</v>
      </c>
    </row>
    <row r="1184" spans="3:6">
      <c r="C1184" s="3">
        <v>44238</v>
      </c>
      <c r="D1184">
        <v>470.33</v>
      </c>
      <c r="E1184">
        <v>215597</v>
      </c>
      <c r="F1184">
        <v>315540</v>
      </c>
    </row>
    <row r="1185" spans="3:6">
      <c r="C1185" s="3">
        <v>44237</v>
      </c>
      <c r="D1185">
        <v>472.07</v>
      </c>
      <c r="E1185">
        <v>254976</v>
      </c>
      <c r="F1185">
        <v>312376</v>
      </c>
    </row>
    <row r="1186" spans="3:6">
      <c r="C1186" s="3">
        <v>44236</v>
      </c>
      <c r="D1186">
        <v>476.98</v>
      </c>
      <c r="E1186">
        <v>274914</v>
      </c>
      <c r="F1186">
        <v>311971</v>
      </c>
    </row>
    <row r="1187" spans="3:6">
      <c r="C1187" s="3">
        <v>44235</v>
      </c>
      <c r="D1187">
        <v>477.68</v>
      </c>
      <c r="E1187">
        <v>160483</v>
      </c>
      <c r="F1187">
        <v>305949</v>
      </c>
    </row>
    <row r="1188" spans="3:6">
      <c r="C1188" s="3">
        <v>44232</v>
      </c>
      <c r="D1188">
        <v>477.92</v>
      </c>
      <c r="E1188">
        <v>190507</v>
      </c>
      <c r="F1188">
        <v>311326</v>
      </c>
    </row>
    <row r="1189" spans="3:6">
      <c r="C1189" s="3">
        <v>44231</v>
      </c>
      <c r="D1189">
        <v>477.55</v>
      </c>
      <c r="E1189">
        <v>176883</v>
      </c>
      <c r="F1189">
        <v>303909</v>
      </c>
    </row>
    <row r="1190" spans="3:6">
      <c r="C1190" s="3">
        <v>44230</v>
      </c>
      <c r="D1190">
        <v>463.63</v>
      </c>
      <c r="E1190">
        <v>252267</v>
      </c>
      <c r="F1190">
        <v>297873</v>
      </c>
    </row>
    <row r="1191" spans="3:6">
      <c r="C1191" s="3">
        <v>44229</v>
      </c>
      <c r="D1191">
        <v>464.27</v>
      </c>
      <c r="E1191">
        <v>283230</v>
      </c>
      <c r="F1191">
        <v>293006</v>
      </c>
    </row>
    <row r="1192" spans="3:6">
      <c r="C1192" s="3">
        <v>44228</v>
      </c>
      <c r="D1192">
        <v>451.98</v>
      </c>
      <c r="E1192">
        <v>456429</v>
      </c>
      <c r="F1192">
        <v>281494</v>
      </c>
    </row>
    <row r="1193" spans="3:6">
      <c r="C1193" s="3">
        <v>44225</v>
      </c>
      <c r="D1193">
        <v>450.11</v>
      </c>
      <c r="E1193">
        <v>904846</v>
      </c>
      <c r="F1193">
        <v>262573</v>
      </c>
    </row>
    <row r="1194" spans="3:6">
      <c r="C1194" s="3">
        <v>44224</v>
      </c>
      <c r="D1194">
        <v>491.15</v>
      </c>
      <c r="E1194">
        <v>384362</v>
      </c>
      <c r="F1194">
        <v>217045</v>
      </c>
    </row>
    <row r="1195" spans="3:6">
      <c r="C1195" s="3">
        <v>44223</v>
      </c>
      <c r="D1195">
        <v>469.07</v>
      </c>
      <c r="E1195">
        <v>405211</v>
      </c>
      <c r="F1195">
        <v>213880</v>
      </c>
    </row>
    <row r="1196" spans="3:6">
      <c r="C1196" s="3">
        <v>44222</v>
      </c>
      <c r="D1196">
        <v>511.56</v>
      </c>
      <c r="E1196">
        <v>237619</v>
      </c>
      <c r="F1196">
        <v>194422</v>
      </c>
    </row>
    <row r="1197" spans="3:6">
      <c r="C1197" s="3">
        <v>44221</v>
      </c>
      <c r="D1197">
        <v>511.08</v>
      </c>
      <c r="E1197">
        <v>341084</v>
      </c>
      <c r="F1197">
        <v>192457</v>
      </c>
    </row>
    <row r="1198" spans="3:6">
      <c r="C1198" s="3">
        <v>44218</v>
      </c>
      <c r="D1198">
        <v>496.16</v>
      </c>
      <c r="E1198">
        <v>194691</v>
      </c>
      <c r="F1198">
        <v>179081</v>
      </c>
    </row>
    <row r="1199" spans="3:6">
      <c r="C1199" s="3">
        <v>44217</v>
      </c>
      <c r="D1199">
        <v>491.32</v>
      </c>
      <c r="E1199">
        <v>168142</v>
      </c>
      <c r="F1199">
        <v>170366</v>
      </c>
    </row>
    <row r="1200" spans="3:6">
      <c r="C1200" s="3">
        <v>44216</v>
      </c>
      <c r="D1200">
        <v>503.05</v>
      </c>
      <c r="E1200">
        <v>248891</v>
      </c>
      <c r="F1200">
        <v>166384</v>
      </c>
    </row>
    <row r="1201" spans="3:6">
      <c r="C1201" s="3">
        <v>44215</v>
      </c>
      <c r="D1201">
        <v>483.72</v>
      </c>
      <c r="E1201">
        <v>184586</v>
      </c>
      <c r="F1201">
        <v>157165</v>
      </c>
    </row>
    <row r="1202" spans="3:6">
      <c r="C1202" s="3">
        <v>44211</v>
      </c>
      <c r="D1202">
        <v>483.3</v>
      </c>
      <c r="E1202">
        <v>241148</v>
      </c>
      <c r="F1202">
        <v>148875</v>
      </c>
    </row>
    <row r="1203" spans="3:6">
      <c r="C1203" s="3">
        <v>44210</v>
      </c>
      <c r="D1203">
        <v>481.38</v>
      </c>
      <c r="E1203">
        <v>79241</v>
      </c>
      <c r="F1203">
        <v>144440</v>
      </c>
    </row>
    <row r="1204" spans="3:6">
      <c r="C1204" s="3">
        <v>44209</v>
      </c>
      <c r="D1204">
        <v>488.96</v>
      </c>
      <c r="E1204">
        <v>86344</v>
      </c>
      <c r="F1204">
        <v>148390</v>
      </c>
    </row>
    <row r="1205" spans="3:6">
      <c r="C1205" s="3">
        <v>44208</v>
      </c>
      <c r="D1205">
        <v>492.28</v>
      </c>
      <c r="E1205">
        <v>179273</v>
      </c>
      <c r="F1205">
        <v>155286</v>
      </c>
    </row>
    <row r="1206" spans="3:6">
      <c r="C1206" s="3">
        <v>44207</v>
      </c>
      <c r="D1206">
        <v>495.67</v>
      </c>
      <c r="E1206">
        <v>110549</v>
      </c>
      <c r="F1206">
        <v>166441</v>
      </c>
    </row>
    <row r="1207" spans="3:6">
      <c r="C1207" s="3">
        <v>44204</v>
      </c>
      <c r="D1207">
        <v>500.36</v>
      </c>
      <c r="E1207">
        <v>172613</v>
      </c>
      <c r="F1207">
        <v>172433</v>
      </c>
    </row>
    <row r="1208" spans="3:6">
      <c r="C1208" s="3">
        <v>44203</v>
      </c>
      <c r="D1208">
        <v>490.11</v>
      </c>
      <c r="E1208">
        <v>221919</v>
      </c>
      <c r="F1208">
        <v>173732</v>
      </c>
    </row>
    <row r="1209" spans="3:6">
      <c r="C1209" s="3">
        <v>44202</v>
      </c>
      <c r="D1209">
        <v>497.01</v>
      </c>
      <c r="E1209">
        <v>336896</v>
      </c>
      <c r="F1209">
        <v>169335</v>
      </c>
    </row>
    <row r="1210" spans="3:6">
      <c r="C1210" s="3">
        <v>44201</v>
      </c>
      <c r="D1210">
        <v>505.01</v>
      </c>
      <c r="E1210">
        <v>113341</v>
      </c>
      <c r="F1210">
        <v>158559</v>
      </c>
    </row>
    <row r="1211" spans="3:6">
      <c r="C1211" s="3">
        <v>44200</v>
      </c>
      <c r="D1211">
        <v>505.26</v>
      </c>
      <c r="E1211">
        <v>208140</v>
      </c>
      <c r="F1211">
        <v>159497</v>
      </c>
    </row>
    <row r="1212" spans="3:6">
      <c r="C1212" s="3">
        <v>44196</v>
      </c>
      <c r="D1212">
        <v>511.04</v>
      </c>
      <c r="E1212">
        <v>140438</v>
      </c>
      <c r="F1212">
        <v>154906</v>
      </c>
    </row>
    <row r="1213" spans="3:6">
      <c r="C1213" s="3">
        <v>44195</v>
      </c>
      <c r="D1213">
        <v>503.95</v>
      </c>
      <c r="E1213">
        <v>63969</v>
      </c>
      <c r="F1213">
        <v>156763</v>
      </c>
    </row>
    <row r="1214" spans="3:6">
      <c r="C1214" s="3">
        <v>44194</v>
      </c>
      <c r="D1214">
        <v>507.51</v>
      </c>
      <c r="E1214">
        <v>108405</v>
      </c>
      <c r="F1214">
        <v>168667</v>
      </c>
    </row>
    <row r="1215" spans="3:6">
      <c r="C1215" s="3">
        <v>44193</v>
      </c>
      <c r="D1215">
        <v>508.42</v>
      </c>
      <c r="E1215">
        <v>110615</v>
      </c>
      <c r="F1215">
        <v>171426</v>
      </c>
    </row>
    <row r="1216" spans="3:6">
      <c r="C1216" s="3">
        <v>44189</v>
      </c>
      <c r="D1216">
        <v>518.45000000000005</v>
      </c>
      <c r="E1216">
        <v>60240</v>
      </c>
      <c r="F1216">
        <v>174941</v>
      </c>
    </row>
    <row r="1217" spans="3:6">
      <c r="C1217" s="3">
        <v>44188</v>
      </c>
      <c r="D1217">
        <v>514.07000000000005</v>
      </c>
      <c r="E1217">
        <v>174621</v>
      </c>
      <c r="F1217">
        <v>202179</v>
      </c>
    </row>
    <row r="1218" spans="3:6">
      <c r="C1218" s="3">
        <v>44187</v>
      </c>
      <c r="D1218">
        <v>515.62</v>
      </c>
      <c r="E1218">
        <v>138480</v>
      </c>
      <c r="F1218">
        <v>201897</v>
      </c>
    </row>
    <row r="1219" spans="3:6">
      <c r="C1219" s="3">
        <v>44186</v>
      </c>
      <c r="D1219">
        <v>516.23</v>
      </c>
      <c r="E1219">
        <v>189795</v>
      </c>
      <c r="F1219">
        <v>205968</v>
      </c>
    </row>
    <row r="1220" spans="3:6">
      <c r="C1220" s="3">
        <v>44183</v>
      </c>
      <c r="D1220">
        <v>521.98</v>
      </c>
      <c r="E1220">
        <v>346591</v>
      </c>
      <c r="F1220">
        <v>210242</v>
      </c>
    </row>
    <row r="1221" spans="3:6">
      <c r="C1221" s="3">
        <v>44182</v>
      </c>
      <c r="D1221">
        <v>527.42999999999995</v>
      </c>
      <c r="E1221">
        <v>200436</v>
      </c>
      <c r="F1221">
        <v>194471</v>
      </c>
    </row>
    <row r="1222" spans="3:6">
      <c r="C1222" s="3">
        <v>44181</v>
      </c>
      <c r="D1222">
        <v>522.41</v>
      </c>
      <c r="E1222">
        <v>192089</v>
      </c>
      <c r="F1222">
        <v>199751</v>
      </c>
    </row>
    <row r="1223" spans="3:6">
      <c r="C1223" s="3">
        <v>44180</v>
      </c>
      <c r="D1223">
        <v>518.33000000000004</v>
      </c>
      <c r="E1223">
        <v>155967</v>
      </c>
      <c r="F1223">
        <v>201112</v>
      </c>
    </row>
    <row r="1224" spans="3:6">
      <c r="C1224" s="3">
        <v>44179</v>
      </c>
      <c r="D1224">
        <v>517.64</v>
      </c>
      <c r="E1224">
        <v>175265</v>
      </c>
      <c r="F1224">
        <v>198348</v>
      </c>
    </row>
    <row r="1225" spans="3:6">
      <c r="C1225" s="3">
        <v>44176</v>
      </c>
      <c r="D1225">
        <v>511.91</v>
      </c>
      <c r="E1225">
        <v>127411</v>
      </c>
      <c r="F1225">
        <v>195921</v>
      </c>
    </row>
    <row r="1226" spans="3:6">
      <c r="C1226" s="3">
        <v>44175</v>
      </c>
      <c r="D1226">
        <v>506.91</v>
      </c>
      <c r="E1226">
        <v>139273</v>
      </c>
      <c r="F1226">
        <v>195027</v>
      </c>
    </row>
    <row r="1227" spans="3:6">
      <c r="C1227" s="3">
        <v>44174</v>
      </c>
      <c r="D1227">
        <v>498.32</v>
      </c>
      <c r="E1227">
        <v>168281</v>
      </c>
      <c r="F1227">
        <v>194613</v>
      </c>
    </row>
    <row r="1228" spans="3:6">
      <c r="C1228" s="3">
        <v>44173</v>
      </c>
      <c r="D1228">
        <v>509.97</v>
      </c>
      <c r="E1228">
        <v>242535</v>
      </c>
      <c r="F1228">
        <v>190200</v>
      </c>
    </row>
    <row r="1229" spans="3:6">
      <c r="C1229" s="3">
        <v>44172</v>
      </c>
      <c r="D1229">
        <v>501.64</v>
      </c>
      <c r="E1229">
        <v>149793</v>
      </c>
      <c r="F1229">
        <v>184680</v>
      </c>
    </row>
    <row r="1230" spans="3:6">
      <c r="C1230" s="3">
        <v>44169</v>
      </c>
      <c r="D1230">
        <v>494.81</v>
      </c>
      <c r="E1230">
        <v>163335</v>
      </c>
      <c r="F1230">
        <v>184261</v>
      </c>
    </row>
    <row r="1231" spans="3:6">
      <c r="C1231" s="3">
        <v>44168</v>
      </c>
      <c r="D1231">
        <v>483.52</v>
      </c>
      <c r="E1231">
        <v>468817</v>
      </c>
      <c r="F1231">
        <v>184354</v>
      </c>
    </row>
    <row r="1232" spans="3:6">
      <c r="C1232" s="3">
        <v>44167</v>
      </c>
      <c r="D1232">
        <v>476.01</v>
      </c>
      <c r="E1232">
        <v>170391</v>
      </c>
      <c r="F1232">
        <v>178093</v>
      </c>
    </row>
    <row r="1233" spans="3:6">
      <c r="C1233" s="3">
        <v>44166</v>
      </c>
      <c r="D1233">
        <v>477.35</v>
      </c>
      <c r="E1233">
        <v>199541</v>
      </c>
      <c r="F1233">
        <v>190322</v>
      </c>
    </row>
    <row r="1234" spans="3:6">
      <c r="C1234" s="3">
        <v>44165</v>
      </c>
      <c r="D1234">
        <v>472.78</v>
      </c>
      <c r="E1234">
        <v>253900</v>
      </c>
      <c r="F1234">
        <v>195881</v>
      </c>
    </row>
    <row r="1235" spans="3:6">
      <c r="C1235" s="3">
        <v>44162</v>
      </c>
      <c r="D1235">
        <v>473.52</v>
      </c>
      <c r="E1235">
        <v>110038</v>
      </c>
      <c r="F1235">
        <v>187579</v>
      </c>
    </row>
    <row r="1236" spans="3:6">
      <c r="C1236" s="3">
        <v>44160</v>
      </c>
      <c r="D1236">
        <v>475.57</v>
      </c>
      <c r="E1236">
        <v>279636</v>
      </c>
      <c r="F1236">
        <v>188056</v>
      </c>
    </row>
    <row r="1237" spans="3:6">
      <c r="C1237" s="3">
        <v>44159</v>
      </c>
      <c r="D1237">
        <v>480.02</v>
      </c>
      <c r="E1237">
        <v>212492</v>
      </c>
      <c r="F1237">
        <v>189510</v>
      </c>
    </row>
    <row r="1238" spans="3:6">
      <c r="C1238" s="3">
        <v>44158</v>
      </c>
      <c r="D1238">
        <v>486.17</v>
      </c>
      <c r="E1238">
        <v>114510</v>
      </c>
      <c r="F1238">
        <v>187214</v>
      </c>
    </row>
    <row r="1239" spans="3:6">
      <c r="C1239" s="3">
        <v>44155</v>
      </c>
      <c r="D1239">
        <v>482.79</v>
      </c>
      <c r="E1239">
        <v>138867</v>
      </c>
      <c r="F1239">
        <v>193051</v>
      </c>
    </row>
    <row r="1240" spans="3:6">
      <c r="C1240" s="3">
        <v>44154</v>
      </c>
      <c r="D1240">
        <v>479.3</v>
      </c>
      <c r="E1240">
        <v>114001</v>
      </c>
      <c r="F1240">
        <v>198977</v>
      </c>
    </row>
    <row r="1241" spans="3:6">
      <c r="C1241" s="3">
        <v>44153</v>
      </c>
      <c r="D1241">
        <v>474.28</v>
      </c>
      <c r="E1241">
        <v>133054</v>
      </c>
      <c r="F1241">
        <v>201803</v>
      </c>
    </row>
    <row r="1242" spans="3:6">
      <c r="C1242" s="3">
        <v>44152</v>
      </c>
      <c r="D1242">
        <v>478.02</v>
      </c>
      <c r="E1242">
        <v>102084</v>
      </c>
      <c r="F1242">
        <v>202023</v>
      </c>
    </row>
    <row r="1243" spans="3:6">
      <c r="C1243" s="3">
        <v>44151</v>
      </c>
      <c r="D1243">
        <v>473.25</v>
      </c>
      <c r="E1243">
        <v>159739</v>
      </c>
      <c r="F1243">
        <v>208014</v>
      </c>
    </row>
    <row r="1244" spans="3:6">
      <c r="C1244" s="3">
        <v>44148</v>
      </c>
      <c r="D1244">
        <v>473.25</v>
      </c>
      <c r="E1244">
        <v>143512</v>
      </c>
      <c r="F1244">
        <v>204999</v>
      </c>
    </row>
    <row r="1245" spans="3:6">
      <c r="C1245" s="3">
        <v>44147</v>
      </c>
      <c r="D1245">
        <v>461.72</v>
      </c>
      <c r="E1245">
        <v>164723</v>
      </c>
      <c r="F1245">
        <v>201944</v>
      </c>
    </row>
    <row r="1246" spans="3:6">
      <c r="C1246" s="3">
        <v>44146</v>
      </c>
      <c r="D1246">
        <v>471.78</v>
      </c>
      <c r="E1246">
        <v>374912</v>
      </c>
      <c r="F1246">
        <v>199587</v>
      </c>
    </row>
    <row r="1247" spans="3:6">
      <c r="C1247" s="3">
        <v>44145</v>
      </c>
      <c r="D1247">
        <v>432.89</v>
      </c>
      <c r="E1247">
        <v>353826</v>
      </c>
      <c r="F1247">
        <v>179436</v>
      </c>
    </row>
    <row r="1248" spans="3:6">
      <c r="C1248" s="3">
        <v>44144</v>
      </c>
      <c r="D1248">
        <v>430.5</v>
      </c>
      <c r="E1248">
        <v>282918</v>
      </c>
      <c r="F1248">
        <v>161546</v>
      </c>
    </row>
    <row r="1249" spans="3:6">
      <c r="C1249" s="3">
        <v>44141</v>
      </c>
      <c r="D1249">
        <v>443.85</v>
      </c>
      <c r="E1249">
        <v>129374</v>
      </c>
      <c r="F1249">
        <v>154077</v>
      </c>
    </row>
    <row r="1250" spans="3:6">
      <c r="C1250" s="3">
        <v>44140</v>
      </c>
      <c r="D1250">
        <v>444.6</v>
      </c>
      <c r="E1250">
        <v>117196</v>
      </c>
      <c r="F1250">
        <v>157783</v>
      </c>
    </row>
    <row r="1251" spans="3:6">
      <c r="C1251" s="3">
        <v>44139</v>
      </c>
      <c r="D1251">
        <v>441.65</v>
      </c>
      <c r="E1251">
        <v>301438</v>
      </c>
      <c r="F1251">
        <v>157413</v>
      </c>
    </row>
    <row r="1252" spans="3:6">
      <c r="C1252" s="3">
        <v>44138</v>
      </c>
      <c r="D1252">
        <v>402.71</v>
      </c>
      <c r="E1252">
        <v>178062</v>
      </c>
      <c r="F1252">
        <v>143689</v>
      </c>
    </row>
    <row r="1253" spans="3:6">
      <c r="C1253" s="3">
        <v>44137</v>
      </c>
      <c r="D1253">
        <v>390.85</v>
      </c>
      <c r="E1253">
        <v>202066</v>
      </c>
      <c r="F1253">
        <v>142396</v>
      </c>
    </row>
    <row r="1254" spans="3:6">
      <c r="C1254" s="3">
        <v>44134</v>
      </c>
      <c r="D1254">
        <v>391.45</v>
      </c>
      <c r="E1254">
        <v>227757</v>
      </c>
      <c r="F1254">
        <v>134596</v>
      </c>
    </row>
    <row r="1255" spans="3:6">
      <c r="C1255" s="3">
        <v>44133</v>
      </c>
      <c r="D1255">
        <v>393.43</v>
      </c>
      <c r="E1255">
        <v>156379</v>
      </c>
      <c r="F1255">
        <v>127455</v>
      </c>
    </row>
    <row r="1256" spans="3:6">
      <c r="C1256" s="3">
        <v>44132</v>
      </c>
      <c r="D1256">
        <v>390.15</v>
      </c>
      <c r="E1256">
        <v>136363</v>
      </c>
      <c r="F1256">
        <v>127905</v>
      </c>
    </row>
    <row r="1257" spans="3:6">
      <c r="C1257" s="3">
        <v>44131</v>
      </c>
      <c r="D1257">
        <v>405.84</v>
      </c>
      <c r="E1257">
        <v>191939</v>
      </c>
      <c r="F1257">
        <v>127894</v>
      </c>
    </row>
    <row r="1258" spans="3:6">
      <c r="C1258" s="3">
        <v>44130</v>
      </c>
      <c r="D1258">
        <v>415.59</v>
      </c>
      <c r="E1258">
        <v>114514</v>
      </c>
      <c r="F1258">
        <v>125322</v>
      </c>
    </row>
    <row r="1259" spans="3:6">
      <c r="C1259" s="3">
        <v>44127</v>
      </c>
      <c r="D1259">
        <v>435.6</v>
      </c>
      <c r="E1259">
        <v>97696</v>
      </c>
      <c r="F1259">
        <v>124464</v>
      </c>
    </row>
    <row r="1260" spans="3:6">
      <c r="C1260" s="3">
        <v>44126</v>
      </c>
      <c r="D1260">
        <v>433.06</v>
      </c>
      <c r="E1260">
        <v>129364</v>
      </c>
      <c r="F1260">
        <v>130639</v>
      </c>
    </row>
    <row r="1261" spans="3:6">
      <c r="C1261" s="3">
        <v>44125</v>
      </c>
      <c r="D1261">
        <v>431.77</v>
      </c>
      <c r="E1261">
        <v>72644</v>
      </c>
      <c r="F1261">
        <v>133640</v>
      </c>
    </row>
    <row r="1262" spans="3:6">
      <c r="C1262" s="3">
        <v>44124</v>
      </c>
      <c r="D1262">
        <v>434.81</v>
      </c>
      <c r="E1262">
        <v>85481</v>
      </c>
    </row>
    <row r="1263" spans="3:6">
      <c r="C1263" s="3">
        <v>44123</v>
      </c>
      <c r="D1263">
        <v>432.43</v>
      </c>
      <c r="E1263">
        <v>170883</v>
      </c>
    </row>
    <row r="1264" spans="3:6">
      <c r="C1264" s="3">
        <v>44120</v>
      </c>
      <c r="D1264">
        <v>437.4</v>
      </c>
      <c r="E1264">
        <v>184964</v>
      </c>
    </row>
    <row r="1265" spans="3:5">
      <c r="C1265" s="3">
        <v>44119</v>
      </c>
      <c r="D1265">
        <v>437.01</v>
      </c>
      <c r="E1265">
        <v>111640</v>
      </c>
    </row>
    <row r="1266" spans="3:5">
      <c r="C1266" s="3">
        <v>44118</v>
      </c>
      <c r="D1266">
        <v>437.73</v>
      </c>
      <c r="E1266">
        <v>95579</v>
      </c>
    </row>
    <row r="1267" spans="3:5">
      <c r="C1267" s="3">
        <v>44117</v>
      </c>
      <c r="D1267">
        <v>440.17</v>
      </c>
      <c r="E1267">
        <v>158665</v>
      </c>
    </row>
    <row r="1268" spans="3:5">
      <c r="C1268" s="3">
        <v>44116</v>
      </c>
      <c r="D1268">
        <v>444.52</v>
      </c>
      <c r="E1268">
        <v>85066</v>
      </c>
    </row>
    <row r="1269" spans="3:5">
      <c r="C1269" s="3">
        <v>44113</v>
      </c>
      <c r="D1269">
        <v>442.3</v>
      </c>
      <c r="E1269">
        <v>120650</v>
      </c>
    </row>
    <row r="1270" spans="3:5">
      <c r="C1270" s="3">
        <v>44112</v>
      </c>
      <c r="D1270">
        <v>439.19</v>
      </c>
      <c r="E1270">
        <v>163130</v>
      </c>
    </row>
    <row r="1271" spans="3:5">
      <c r="C1271" s="3">
        <v>44111</v>
      </c>
      <c r="D1271">
        <v>446.44</v>
      </c>
      <c r="E1271">
        <v>136192</v>
      </c>
    </row>
    <row r="1272" spans="3:5">
      <c r="C1272" s="3">
        <v>44110</v>
      </c>
      <c r="D1272">
        <v>435.83</v>
      </c>
      <c r="E1272">
        <v>153357</v>
      </c>
    </row>
    <row r="1273" spans="3:5">
      <c r="C1273" s="3">
        <v>44109</v>
      </c>
      <c r="D1273">
        <v>437.35</v>
      </c>
      <c r="E1273">
        <v>101650</v>
      </c>
    </row>
    <row r="1274" spans="3:5">
      <c r="C1274" s="3">
        <v>44106</v>
      </c>
      <c r="D1274">
        <v>433.72</v>
      </c>
      <c r="E1274">
        <v>190322</v>
      </c>
    </row>
    <row r="1275" spans="3:5">
      <c r="C1275" s="3">
        <v>44105</v>
      </c>
      <c r="D1275">
        <v>436.99</v>
      </c>
      <c r="E1275">
        <v>174375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19DC9-B2BA-423E-B6FB-481689F9C00B}">
  <sheetPr>
    <tabColor rgb="FF002060"/>
    <pageSetUpPr autoPageBreaks="0"/>
  </sheetPr>
  <dimension ref="B1:V43"/>
  <sheetViews>
    <sheetView showGridLines="0" zoomScale="69" zoomScaleNormal="69" workbookViewId="0">
      <selection activeCell="C6" sqref="C6"/>
    </sheetView>
  </sheetViews>
  <sheetFormatPr defaultColWidth="8.7109375" defaultRowHeight="15"/>
  <cols>
    <col min="1" max="1" width="8.7109375" style="25"/>
    <col min="2" max="2" width="44" style="25" customWidth="1"/>
    <col min="3" max="10" width="16.7109375" style="25" customWidth="1"/>
    <col min="11" max="11" width="36.140625" style="25" customWidth="1"/>
    <col min="12" max="12" width="14.7109375" style="25" customWidth="1"/>
    <col min="13" max="22" width="16.7109375" style="25" customWidth="1"/>
    <col min="23" max="16384" width="8.7109375" style="25"/>
  </cols>
  <sheetData>
    <row r="1" spans="2:22" ht="45.75">
      <c r="B1" s="444" t="s">
        <v>102</v>
      </c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</row>
    <row r="3" spans="2:22" ht="18.75">
      <c r="B3" s="87" t="s">
        <v>103</v>
      </c>
      <c r="C3" s="88">
        <v>2024</v>
      </c>
      <c r="D3" s="89">
        <v>2025</v>
      </c>
      <c r="E3" s="89">
        <v>2026</v>
      </c>
      <c r="F3" s="89">
        <v>2027</v>
      </c>
      <c r="G3" s="89">
        <v>2028</v>
      </c>
      <c r="H3" s="89">
        <v>2029</v>
      </c>
      <c r="I3" s="89">
        <v>2030</v>
      </c>
      <c r="J3" s="62"/>
      <c r="K3" s="449" t="s">
        <v>104</v>
      </c>
      <c r="L3" s="449"/>
      <c r="M3" s="62"/>
      <c r="N3" s="450"/>
      <c r="O3" s="450"/>
      <c r="P3" s="62"/>
      <c r="Q3" s="62"/>
      <c r="R3" s="62"/>
      <c r="S3" s="62"/>
      <c r="T3" s="62"/>
    </row>
    <row r="4" spans="2:22" ht="18.75">
      <c r="B4" s="27"/>
      <c r="C4" s="28" t="s">
        <v>105</v>
      </c>
      <c r="D4" s="27"/>
      <c r="E4" s="27"/>
      <c r="F4" s="27"/>
      <c r="G4" s="27"/>
      <c r="H4" s="27"/>
      <c r="I4" s="27"/>
      <c r="J4" s="62"/>
      <c r="K4" s="26" t="s">
        <v>106</v>
      </c>
      <c r="L4" s="29">
        <f>C39</f>
        <v>0.108</v>
      </c>
      <c r="M4" s="62"/>
      <c r="N4" s="62"/>
      <c r="O4" s="62"/>
      <c r="P4" s="62"/>
      <c r="Q4" s="62"/>
      <c r="R4" s="62"/>
      <c r="S4" s="62"/>
      <c r="T4" s="62"/>
    </row>
    <row r="5" spans="2:22" ht="18.75">
      <c r="B5" s="30" t="s">
        <v>1</v>
      </c>
      <c r="C5" s="31">
        <f>Historicals!H6</f>
        <v>1717.5</v>
      </c>
      <c r="D5" s="32">
        <f t="shared" ref="D5:I5" si="0">C5*(1+D6)</f>
        <v>2198.4</v>
      </c>
      <c r="E5" s="32">
        <f t="shared" si="0"/>
        <v>2748</v>
      </c>
      <c r="F5" s="32">
        <f t="shared" si="0"/>
        <v>3380.04</v>
      </c>
      <c r="G5" s="32">
        <f t="shared" si="0"/>
        <v>4089.8483999999999</v>
      </c>
      <c r="H5" s="32">
        <f t="shared" si="0"/>
        <v>4866.9195959999997</v>
      </c>
      <c r="I5" s="32">
        <f t="shared" si="0"/>
        <v>5548.2883394400005</v>
      </c>
      <c r="J5" s="62"/>
      <c r="K5" s="26" t="s">
        <v>137</v>
      </c>
      <c r="L5" s="63">
        <f>I14</f>
        <v>2432.7548385109203</v>
      </c>
      <c r="M5" s="305"/>
      <c r="O5" s="62"/>
      <c r="P5" s="62"/>
      <c r="Q5" s="62"/>
      <c r="R5" s="62"/>
      <c r="S5" s="62"/>
      <c r="T5" s="62"/>
    </row>
    <row r="6" spans="2:22" ht="18.75">
      <c r="B6" s="33" t="s">
        <v>3</v>
      </c>
      <c r="C6" s="34">
        <f>Historicals!H7</f>
        <v>0.13471194503171247</v>
      </c>
      <c r="D6" s="35">
        <v>0.28000000000000003</v>
      </c>
      <c r="E6" s="35">
        <f>D6-3%</f>
        <v>0.25</v>
      </c>
      <c r="F6" s="35">
        <f>E6-2%</f>
        <v>0.23</v>
      </c>
      <c r="G6" s="35">
        <f>F6-2%</f>
        <v>0.21000000000000002</v>
      </c>
      <c r="H6" s="35">
        <f>G6-2%</f>
        <v>0.19000000000000003</v>
      </c>
      <c r="I6" s="35">
        <f>H6-5%</f>
        <v>0.14000000000000001</v>
      </c>
      <c r="J6" s="62"/>
      <c r="K6" s="26" t="s">
        <v>138</v>
      </c>
      <c r="L6" s="59">
        <f>'Multiples Valuations'!K31</f>
        <v>21.35</v>
      </c>
      <c r="M6" s="62"/>
      <c r="N6" s="358"/>
      <c r="O6" s="62"/>
      <c r="P6" s="62"/>
      <c r="Q6" s="62"/>
      <c r="R6" s="62"/>
      <c r="S6" s="62"/>
      <c r="T6" s="62"/>
    </row>
    <row r="7" spans="2:22" ht="18.75">
      <c r="B7" s="36"/>
      <c r="C7" s="28"/>
      <c r="D7" s="27"/>
      <c r="E7" s="27"/>
      <c r="F7" s="27"/>
      <c r="G7" s="27"/>
      <c r="H7" s="27"/>
      <c r="I7" s="27"/>
      <c r="J7" s="62"/>
      <c r="K7" s="26" t="s">
        <v>109</v>
      </c>
      <c r="L7" s="63">
        <f>L5*L6</f>
        <v>51939.315802208155</v>
      </c>
      <c r="M7" s="62"/>
      <c r="N7" s="62"/>
      <c r="O7" s="62"/>
      <c r="P7" s="62"/>
      <c r="Q7" s="62"/>
      <c r="R7" s="62"/>
      <c r="S7" s="62"/>
      <c r="T7" s="62"/>
    </row>
    <row r="8" spans="2:22" ht="18.75">
      <c r="B8" s="37" t="s">
        <v>4</v>
      </c>
      <c r="C8" s="31">
        <f>Historicals!H9</f>
        <v>760.8</v>
      </c>
      <c r="D8" s="32">
        <f t="shared" ref="D8:I8" si="1">D9*D5</f>
        <v>1000.2048</v>
      </c>
      <c r="E8" s="32">
        <f t="shared" si="1"/>
        <v>1277.7359999999999</v>
      </c>
      <c r="F8" s="32">
        <f t="shared" si="1"/>
        <v>1600.3456199999998</v>
      </c>
      <c r="G8" s="32">
        <f t="shared" si="1"/>
        <v>1971.1819115999999</v>
      </c>
      <c r="H8" s="32">
        <f t="shared" si="1"/>
        <v>2382.2083717739997</v>
      </c>
      <c r="I8" s="32">
        <f t="shared" si="1"/>
        <v>2754.5555621984404</v>
      </c>
      <c r="J8" s="62"/>
      <c r="K8" s="26" t="s">
        <v>110</v>
      </c>
      <c r="L8" s="38">
        <f>I41</f>
        <v>0.69841062645957752</v>
      </c>
      <c r="M8" s="62"/>
      <c r="N8" s="62"/>
      <c r="O8" s="62"/>
      <c r="P8" s="62"/>
      <c r="Q8" s="62"/>
      <c r="R8" s="62"/>
      <c r="S8" s="62"/>
      <c r="T8" s="62"/>
    </row>
    <row r="9" spans="2:22" ht="18.75">
      <c r="B9" s="33" t="s">
        <v>6</v>
      </c>
      <c r="C9" s="34">
        <f>C8/C5</f>
        <v>0.44296943231441044</v>
      </c>
      <c r="D9" s="35">
        <f>C9+0.012</f>
        <v>0.45496943231441045</v>
      </c>
      <c r="E9" s="35">
        <f>D9+0.01</f>
        <v>0.46496943231441046</v>
      </c>
      <c r="F9" s="35">
        <f>E9+0.0085</f>
        <v>0.47346943231441047</v>
      </c>
      <c r="G9" s="35">
        <f>F9+0.0085</f>
        <v>0.48196943231441047</v>
      </c>
      <c r="H9" s="35">
        <f>G9+0.0075</f>
        <v>0.48946943231441048</v>
      </c>
      <c r="I9" s="35">
        <f>H9+0.007</f>
        <v>0.49646943231441049</v>
      </c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</row>
    <row r="10" spans="2:22" ht="18.75">
      <c r="B10" s="36"/>
      <c r="C10" s="28"/>
      <c r="D10" s="27"/>
      <c r="E10" s="27"/>
      <c r="F10" s="27"/>
      <c r="G10" s="27"/>
      <c r="H10" s="27"/>
      <c r="I10" s="27"/>
      <c r="J10" s="62"/>
      <c r="K10" s="91" t="s">
        <v>111</v>
      </c>
      <c r="L10" s="92"/>
      <c r="M10" s="62"/>
      <c r="N10" s="62"/>
      <c r="O10" s="62"/>
      <c r="P10" s="62"/>
      <c r="Q10" s="62"/>
      <c r="R10" s="62"/>
      <c r="S10" s="62"/>
      <c r="T10" s="62"/>
    </row>
    <row r="11" spans="2:22" ht="18.75">
      <c r="B11" s="37" t="s">
        <v>7</v>
      </c>
      <c r="C11" s="31">
        <f>Historicals!H12</f>
        <v>13.8</v>
      </c>
      <c r="D11" s="32">
        <f t="shared" ref="D11:I11" si="2">D12*D5</f>
        <v>98.927999999999997</v>
      </c>
      <c r="E11" s="32">
        <f t="shared" si="2"/>
        <v>159.38400000000001</v>
      </c>
      <c r="F11" s="32">
        <f t="shared" si="2"/>
        <v>196.04232000000002</v>
      </c>
      <c r="G11" s="32">
        <f t="shared" si="2"/>
        <v>237.21120719999999</v>
      </c>
      <c r="H11" s="32">
        <f t="shared" si="2"/>
        <v>282.28133656799997</v>
      </c>
      <c r="I11" s="32">
        <f t="shared" si="2"/>
        <v>321.80072368752002</v>
      </c>
      <c r="J11" s="62"/>
      <c r="K11" s="26" t="s">
        <v>139</v>
      </c>
      <c r="L11" s="64">
        <f>SUM(D43:I43)</f>
        <v>6919.0382748216452</v>
      </c>
      <c r="M11" s="62"/>
      <c r="N11" s="26"/>
      <c r="O11" s="38"/>
      <c r="P11" s="62"/>
      <c r="Q11" s="62"/>
      <c r="R11" s="62"/>
      <c r="S11" s="62"/>
      <c r="T11" s="62"/>
    </row>
    <row r="12" spans="2:22" ht="18.75">
      <c r="B12" s="33" t="s">
        <v>17</v>
      </c>
      <c r="C12" s="34">
        <f>C11/C5</f>
        <v>8.034934497816594E-3</v>
      </c>
      <c r="D12" s="35">
        <v>4.4999999999999998E-2</v>
      </c>
      <c r="E12" s="35">
        <v>5.8000000000000003E-2</v>
      </c>
      <c r="F12" s="35">
        <v>5.8000000000000003E-2</v>
      </c>
      <c r="G12" s="35">
        <v>5.8000000000000003E-2</v>
      </c>
      <c r="H12" s="35">
        <v>5.8000000000000003E-2</v>
      </c>
      <c r="I12" s="35">
        <v>5.8000000000000003E-2</v>
      </c>
      <c r="J12" s="62"/>
      <c r="K12" s="26" t="s">
        <v>113</v>
      </c>
      <c r="L12" s="40">
        <f>L7*L8</f>
        <v>36274.970087302034</v>
      </c>
      <c r="M12" s="62"/>
      <c r="N12" s="62"/>
      <c r="O12" s="62"/>
      <c r="P12" s="62"/>
      <c r="Q12" s="62"/>
      <c r="R12" s="62"/>
      <c r="S12" s="62"/>
      <c r="T12" s="62"/>
    </row>
    <row r="13" spans="2:22" ht="18.75">
      <c r="B13" s="36"/>
      <c r="C13" s="28"/>
      <c r="D13" s="27"/>
      <c r="E13" s="27"/>
      <c r="F13" s="27"/>
      <c r="G13" s="27"/>
      <c r="H13" s="27"/>
      <c r="I13" s="27"/>
      <c r="J13" s="62"/>
      <c r="K13" s="41" t="s">
        <v>114</v>
      </c>
      <c r="L13" s="42">
        <f>L12/L15</f>
        <v>0.83981486004228156</v>
      </c>
      <c r="M13" s="62"/>
      <c r="N13" s="65"/>
      <c r="O13" s="66"/>
      <c r="P13" s="62"/>
      <c r="Q13" s="62"/>
      <c r="R13" s="62"/>
      <c r="S13" s="62"/>
      <c r="T13" s="62"/>
    </row>
    <row r="14" spans="2:22" ht="18.75">
      <c r="B14" s="37" t="s">
        <v>9</v>
      </c>
      <c r="C14" s="31">
        <f t="shared" ref="C14:I14" si="3">C8-C11</f>
        <v>747</v>
      </c>
      <c r="D14" s="39">
        <f t="shared" si="3"/>
        <v>901.27679999999998</v>
      </c>
      <c r="E14" s="39">
        <f t="shared" si="3"/>
        <v>1118.3519999999999</v>
      </c>
      <c r="F14" s="39">
        <f t="shared" si="3"/>
        <v>1404.3032999999998</v>
      </c>
      <c r="G14" s="39">
        <f t="shared" si="3"/>
        <v>1733.9707043999999</v>
      </c>
      <c r="H14" s="39">
        <f t="shared" si="3"/>
        <v>2099.9270352059998</v>
      </c>
      <c r="I14" s="39">
        <f t="shared" si="3"/>
        <v>2432.7548385109203</v>
      </c>
      <c r="J14" s="62"/>
      <c r="K14" s="26"/>
      <c r="L14" s="40"/>
      <c r="M14" s="62"/>
      <c r="N14" s="26"/>
      <c r="O14" s="67"/>
      <c r="P14" s="62"/>
      <c r="Q14" s="62"/>
      <c r="R14" s="451"/>
      <c r="S14" s="451"/>
      <c r="T14" s="62"/>
    </row>
    <row r="15" spans="2:22" ht="18.75">
      <c r="B15" s="33" t="s">
        <v>10</v>
      </c>
      <c r="C15" s="34">
        <f t="shared" ref="C15:I15" si="4">C14/C5</f>
        <v>0.43493449781659388</v>
      </c>
      <c r="D15" s="35">
        <f t="shared" si="4"/>
        <v>0.40996943231441046</v>
      </c>
      <c r="E15" s="35">
        <f t="shared" si="4"/>
        <v>0.40696943231441041</v>
      </c>
      <c r="F15" s="35">
        <f t="shared" si="4"/>
        <v>0.41546943231441041</v>
      </c>
      <c r="G15" s="35">
        <f t="shared" si="4"/>
        <v>0.42396943231441048</v>
      </c>
      <c r="H15" s="35">
        <f t="shared" si="4"/>
        <v>0.43146943231441048</v>
      </c>
      <c r="I15" s="35">
        <f t="shared" si="4"/>
        <v>0.43846943231441049</v>
      </c>
      <c r="J15" s="62"/>
      <c r="K15" s="26" t="s">
        <v>115</v>
      </c>
      <c r="L15" s="40">
        <f>L11+L12</f>
        <v>43194.008362123677</v>
      </c>
      <c r="M15" s="62"/>
      <c r="N15" s="26"/>
      <c r="O15" s="40"/>
      <c r="P15" s="62"/>
      <c r="Q15" s="62"/>
      <c r="R15" s="27"/>
      <c r="S15" s="68"/>
      <c r="T15" s="62"/>
    </row>
    <row r="16" spans="2:22" ht="18.75">
      <c r="B16" s="36"/>
      <c r="C16" s="28"/>
      <c r="D16" s="27"/>
      <c r="E16" s="27"/>
      <c r="F16" s="27"/>
      <c r="G16" s="27"/>
      <c r="H16" s="27"/>
      <c r="I16" s="27"/>
      <c r="J16" s="62"/>
      <c r="K16" s="26"/>
      <c r="L16" s="44"/>
      <c r="M16" s="62"/>
      <c r="N16" s="41"/>
      <c r="O16" s="42"/>
      <c r="P16" s="62"/>
      <c r="Q16" s="62"/>
      <c r="R16" s="27"/>
      <c r="S16" s="68"/>
      <c r="T16" s="62"/>
    </row>
    <row r="17" spans="2:20" ht="18.75">
      <c r="B17" s="37" t="s">
        <v>11</v>
      </c>
      <c r="C17" s="31">
        <f>Historicals!H18</f>
        <v>129.19999999999999</v>
      </c>
      <c r="D17" s="39">
        <f t="shared" ref="D17:I17" si="5">D14*D18</f>
        <v>153.21705600000001</v>
      </c>
      <c r="E17" s="39">
        <f t="shared" si="5"/>
        <v>190.11983999999998</v>
      </c>
      <c r="F17" s="39">
        <f t="shared" si="5"/>
        <v>294.90369299999998</v>
      </c>
      <c r="G17" s="39">
        <f t="shared" si="5"/>
        <v>364.13384792399995</v>
      </c>
      <c r="H17" s="39">
        <f t="shared" si="5"/>
        <v>440.98467739325991</v>
      </c>
      <c r="I17" s="39">
        <f t="shared" si="5"/>
        <v>510.87851608729324</v>
      </c>
      <c r="J17" s="62"/>
      <c r="K17" s="91" t="s">
        <v>116</v>
      </c>
      <c r="L17" s="93"/>
      <c r="M17" s="62"/>
      <c r="N17" s="26"/>
      <c r="O17" s="40"/>
      <c r="P17" s="62"/>
      <c r="Q17" s="62"/>
      <c r="R17" s="26"/>
      <c r="S17" s="69"/>
      <c r="T17" s="62"/>
    </row>
    <row r="18" spans="2:20" ht="18.75">
      <c r="B18" s="33" t="s">
        <v>13</v>
      </c>
      <c r="C18" s="43">
        <f>C17/C14</f>
        <v>0.17295850066934404</v>
      </c>
      <c r="D18" s="35">
        <v>0.17</v>
      </c>
      <c r="E18" s="35">
        <v>0.17</v>
      </c>
      <c r="F18" s="35">
        <v>0.21</v>
      </c>
      <c r="G18" s="35">
        <v>0.21</v>
      </c>
      <c r="H18" s="35">
        <v>0.21</v>
      </c>
      <c r="I18" s="35">
        <v>0.21</v>
      </c>
      <c r="J18" s="62"/>
      <c r="K18" s="26" t="s">
        <v>115</v>
      </c>
      <c r="L18" s="40">
        <f>L15</f>
        <v>43194.008362123677</v>
      </c>
      <c r="M18" s="62"/>
      <c r="N18" s="26"/>
      <c r="O18" s="40"/>
      <c r="P18" s="62"/>
      <c r="Q18" s="62"/>
      <c r="R18" s="26"/>
      <c r="S18" s="68"/>
      <c r="T18" s="62"/>
    </row>
    <row r="19" spans="2:20" ht="18.75">
      <c r="B19" s="33"/>
      <c r="C19" s="35"/>
      <c r="D19" s="35"/>
      <c r="E19" s="35"/>
      <c r="F19" s="35"/>
      <c r="G19" s="35"/>
      <c r="H19" s="35"/>
      <c r="I19" s="35"/>
      <c r="J19" s="62"/>
      <c r="K19" s="26" t="s">
        <v>117</v>
      </c>
      <c r="L19" s="45">
        <v>-349</v>
      </c>
      <c r="M19" s="62"/>
      <c r="N19" s="26"/>
      <c r="O19" s="44"/>
      <c r="P19" s="62"/>
      <c r="Q19" s="62"/>
      <c r="R19" s="26"/>
      <c r="S19" s="70"/>
      <c r="T19" s="62"/>
    </row>
    <row r="20" spans="2:20" ht="18.75">
      <c r="B20" s="87" t="s">
        <v>118</v>
      </c>
      <c r="C20" s="61">
        <v>2024</v>
      </c>
      <c r="D20" s="89">
        <v>2025</v>
      </c>
      <c r="E20" s="89">
        <v>2026</v>
      </c>
      <c r="F20" s="89">
        <v>2027</v>
      </c>
      <c r="G20" s="89">
        <v>2028</v>
      </c>
      <c r="H20" s="89">
        <v>2029</v>
      </c>
      <c r="I20" s="89">
        <v>2030</v>
      </c>
      <c r="J20" s="62"/>
      <c r="K20" s="26" t="s">
        <v>119</v>
      </c>
      <c r="L20" s="45">
        <v>0</v>
      </c>
      <c r="M20" s="62"/>
      <c r="N20" s="65"/>
      <c r="O20" s="71"/>
      <c r="P20" s="62"/>
      <c r="Q20" s="62"/>
      <c r="R20" s="62"/>
      <c r="S20" s="62"/>
      <c r="T20" s="62"/>
    </row>
    <row r="21" spans="2:20" ht="18.75">
      <c r="B21" s="27"/>
      <c r="C21" s="28"/>
      <c r="D21" s="27"/>
      <c r="E21" s="27"/>
      <c r="F21" s="27"/>
      <c r="G21" s="27"/>
      <c r="H21" s="27"/>
      <c r="I21" s="27"/>
      <c r="J21" s="62"/>
      <c r="K21" s="26" t="s">
        <v>120</v>
      </c>
      <c r="L21" s="40">
        <v>1080</v>
      </c>
      <c r="M21" s="62"/>
      <c r="N21" s="26"/>
      <c r="O21" s="40"/>
      <c r="P21" s="62"/>
      <c r="Q21" s="62"/>
      <c r="R21" s="62"/>
      <c r="S21" s="62"/>
      <c r="T21" s="62"/>
    </row>
    <row r="22" spans="2:20" ht="18.75">
      <c r="B22" s="37" t="s">
        <v>15</v>
      </c>
      <c r="C22" s="31">
        <f t="shared" ref="C22:I22" si="6">C14-C17</f>
        <v>617.79999999999995</v>
      </c>
      <c r="D22" s="32">
        <f t="shared" si="6"/>
        <v>748.05974399999991</v>
      </c>
      <c r="E22" s="32">
        <f t="shared" si="6"/>
        <v>928.23215999999991</v>
      </c>
      <c r="F22" s="32">
        <f t="shared" si="6"/>
        <v>1109.3996069999998</v>
      </c>
      <c r="G22" s="32">
        <f t="shared" si="6"/>
        <v>1369.8368564759999</v>
      </c>
      <c r="H22" s="32">
        <f t="shared" si="6"/>
        <v>1658.9423578127398</v>
      </c>
      <c r="I22" s="32">
        <f t="shared" si="6"/>
        <v>1921.876322423627</v>
      </c>
      <c r="J22" s="62"/>
      <c r="K22" s="26" t="s">
        <v>121</v>
      </c>
      <c r="L22" s="40">
        <f>SUM(L18:L21)</f>
        <v>43925.008362123677</v>
      </c>
      <c r="M22" s="62"/>
      <c r="N22" s="26"/>
      <c r="O22" s="45"/>
      <c r="P22" s="62"/>
      <c r="Q22" s="62"/>
      <c r="R22" s="62"/>
      <c r="S22" s="62"/>
      <c r="T22" s="62"/>
    </row>
    <row r="23" spans="2:20" ht="18.75">
      <c r="B23" s="36"/>
      <c r="C23" s="28"/>
      <c r="D23" s="27"/>
      <c r="E23" s="27"/>
      <c r="F23" s="27"/>
      <c r="G23" s="27"/>
      <c r="H23" s="27"/>
      <c r="I23" s="27"/>
      <c r="J23" s="62"/>
      <c r="K23" s="26" t="s">
        <v>122</v>
      </c>
      <c r="L23" s="380">
        <v>289.3</v>
      </c>
      <c r="M23" s="62" t="s">
        <v>140</v>
      </c>
      <c r="N23" s="26"/>
      <c r="O23" s="45"/>
      <c r="P23" s="62"/>
      <c r="Q23" s="62"/>
      <c r="R23" s="62"/>
      <c r="S23" s="62"/>
      <c r="T23" s="62"/>
    </row>
    <row r="24" spans="2:20" ht="19.5" thickBot="1">
      <c r="B24" s="37" t="s">
        <v>16</v>
      </c>
      <c r="C24" s="31">
        <f t="shared" ref="C24:I24" si="7">C11</f>
        <v>13.8</v>
      </c>
      <c r="D24" s="32">
        <f t="shared" si="7"/>
        <v>98.927999999999997</v>
      </c>
      <c r="E24" s="32">
        <f t="shared" si="7"/>
        <v>159.38400000000001</v>
      </c>
      <c r="F24" s="32">
        <f t="shared" si="7"/>
        <v>196.04232000000002</v>
      </c>
      <c r="G24" s="32">
        <f t="shared" si="7"/>
        <v>237.21120719999999</v>
      </c>
      <c r="H24" s="32">
        <f t="shared" si="7"/>
        <v>282.28133656799997</v>
      </c>
      <c r="I24" s="32">
        <f t="shared" si="7"/>
        <v>321.80072368752002</v>
      </c>
      <c r="J24" s="62"/>
      <c r="K24" s="91" t="s">
        <v>123</v>
      </c>
      <c r="L24" s="364">
        <f>L22/L23</f>
        <v>151.83203720056576</v>
      </c>
      <c r="M24" s="62"/>
      <c r="N24" s="26"/>
      <c r="O24" s="40"/>
      <c r="P24" s="62"/>
      <c r="Q24" s="62"/>
      <c r="R24" s="62"/>
      <c r="S24" s="62"/>
      <c r="T24" s="62"/>
    </row>
    <row r="25" spans="2:20" ht="19.5" thickTop="1">
      <c r="B25" s="33" t="s">
        <v>17</v>
      </c>
      <c r="C25" s="34">
        <f>C12</f>
        <v>8.034934497816594E-3</v>
      </c>
      <c r="D25" s="35">
        <v>4.4999999999999998E-2</v>
      </c>
      <c r="E25" s="35">
        <v>5.0999999999999997E-2</v>
      </c>
      <c r="F25" s="35">
        <v>5.8000000000000003E-2</v>
      </c>
      <c r="G25" s="35">
        <v>5.8000000000000003E-2</v>
      </c>
      <c r="H25" s="35">
        <v>5.8000000000000003E-2</v>
      </c>
      <c r="I25" s="35">
        <v>5.8000000000000003E-2</v>
      </c>
      <c r="J25" s="62"/>
      <c r="K25" s="62"/>
      <c r="L25" s="62"/>
      <c r="M25" s="62"/>
      <c r="N25" s="26"/>
      <c r="O25" s="40"/>
      <c r="P25" s="62"/>
      <c r="Q25" s="62"/>
      <c r="R25" s="62"/>
      <c r="S25" s="62"/>
      <c r="T25" s="62"/>
    </row>
    <row r="26" spans="2:20" ht="19.5" thickBot="1">
      <c r="B26" s="36"/>
      <c r="C26" s="28"/>
      <c r="D26" s="27"/>
      <c r="E26" s="27"/>
      <c r="F26" s="27"/>
      <c r="G26" s="27"/>
      <c r="H26" s="27"/>
      <c r="I26" s="27"/>
      <c r="J26" s="62"/>
      <c r="K26" s="62"/>
      <c r="L26" s="62"/>
      <c r="M26" s="62"/>
      <c r="N26" s="26"/>
      <c r="O26" s="46"/>
      <c r="P26" s="62"/>
      <c r="Q26" s="62"/>
      <c r="R26" s="62"/>
      <c r="S26" s="62"/>
      <c r="T26" s="62"/>
    </row>
    <row r="27" spans="2:20" ht="19.5" thickBot="1">
      <c r="B27" s="37" t="s">
        <v>18</v>
      </c>
      <c r="C27" s="47">
        <f>Historicals!H26</f>
        <v>-25.6</v>
      </c>
      <c r="D27" s="48">
        <f t="shared" ref="D27:I27" si="8">D5*D28</f>
        <v>-68.150400000000005</v>
      </c>
      <c r="E27" s="48">
        <f t="shared" si="8"/>
        <v>-93.432000000000002</v>
      </c>
      <c r="F27" s="48">
        <f t="shared" si="8"/>
        <v>-125.06147999999999</v>
      </c>
      <c r="G27" s="48">
        <f t="shared" si="8"/>
        <v>-151.32439079999997</v>
      </c>
      <c r="H27" s="48">
        <f t="shared" si="8"/>
        <v>-180.07602505199998</v>
      </c>
      <c r="I27" s="48">
        <f t="shared" si="8"/>
        <v>-205.28666855928</v>
      </c>
      <c r="J27" s="62"/>
      <c r="K27" s="452" t="s">
        <v>124</v>
      </c>
      <c r="L27" s="453"/>
      <c r="M27" s="454" t="s">
        <v>125</v>
      </c>
      <c r="N27" s="454"/>
      <c r="O27" s="454"/>
      <c r="P27" s="454"/>
      <c r="Q27" s="455"/>
      <c r="R27" s="304"/>
      <c r="S27" s="62"/>
      <c r="T27" s="62"/>
    </row>
    <row r="28" spans="2:20" ht="18.75">
      <c r="B28" s="33" t="s">
        <v>19</v>
      </c>
      <c r="C28" s="34">
        <f>C27/C5</f>
        <v>-1.4905385735080059E-2</v>
      </c>
      <c r="D28" s="35">
        <v>-3.1E-2</v>
      </c>
      <c r="E28" s="35">
        <v>-3.4000000000000002E-2</v>
      </c>
      <c r="F28" s="35">
        <v>-3.6999999999999998E-2</v>
      </c>
      <c r="G28" s="35">
        <v>-3.6999999999999998E-2</v>
      </c>
      <c r="H28" s="35">
        <v>-3.6999999999999998E-2</v>
      </c>
      <c r="I28" s="35">
        <v>-3.6999999999999998E-2</v>
      </c>
      <c r="J28" s="62"/>
      <c r="K28" s="72"/>
      <c r="L28" s="73">
        <f>L24</f>
        <v>151.83203720056576</v>
      </c>
      <c r="M28" s="59">
        <v>18</v>
      </c>
      <c r="N28" s="59">
        <v>20</v>
      </c>
      <c r="O28" s="59">
        <v>21.35</v>
      </c>
      <c r="P28" s="59">
        <v>23</v>
      </c>
      <c r="Q28" s="74">
        <v>24</v>
      </c>
      <c r="R28" s="62"/>
      <c r="S28" s="62"/>
      <c r="T28" s="62"/>
    </row>
    <row r="29" spans="2:20" ht="18.75">
      <c r="B29" s="36"/>
      <c r="C29" s="28"/>
      <c r="D29" s="27"/>
      <c r="E29" s="27"/>
      <c r="F29" s="27"/>
      <c r="G29" s="27"/>
      <c r="H29" s="27"/>
      <c r="I29" s="27"/>
      <c r="J29" s="62"/>
      <c r="K29" s="447" t="s">
        <v>106</v>
      </c>
      <c r="L29" s="75">
        <v>9.8000000000000004E-2</v>
      </c>
      <c r="M29" s="76">
        <f t="dataTable" ref="M29:Q33" dt2D="1" dtr="1" r1="L6" r2="C39"/>
        <v>136.10139699215301</v>
      </c>
      <c r="N29" s="77">
        <v>148.22611695098755</v>
      </c>
      <c r="O29" s="77">
        <v>156.41030292320082</v>
      </c>
      <c r="P29" s="77">
        <v>166.41319688923929</v>
      </c>
      <c r="Q29" s="78">
        <v>172.47555686865653</v>
      </c>
      <c r="R29" s="62"/>
      <c r="S29" s="62"/>
      <c r="T29" s="62"/>
    </row>
    <row r="30" spans="2:20" ht="18.75">
      <c r="B30" s="37" t="s">
        <v>126</v>
      </c>
      <c r="C30" s="47">
        <f>Historicals!H29</f>
        <v>-27.7</v>
      </c>
      <c r="D30" s="48">
        <f t="shared" ref="D30:I30" si="9">D31*D5</f>
        <v>87.936000000000007</v>
      </c>
      <c r="E30" s="48">
        <f t="shared" si="9"/>
        <v>96.18</v>
      </c>
      <c r="F30" s="48">
        <f t="shared" si="9"/>
        <v>118.30140000000002</v>
      </c>
      <c r="G30" s="48">
        <f t="shared" si="9"/>
        <v>122.69545199999999</v>
      </c>
      <c r="H30" s="48">
        <f t="shared" si="9"/>
        <v>146.00758787999999</v>
      </c>
      <c r="I30" s="48">
        <f t="shared" si="9"/>
        <v>138.70720848600001</v>
      </c>
      <c r="J30" s="62"/>
      <c r="K30" s="447"/>
      <c r="L30" s="75">
        <v>0.10299999999999999</v>
      </c>
      <c r="M30" s="79">
        <v>134.10978173699633</v>
      </c>
      <c r="N30" s="80">
        <v>146.04322062704387</v>
      </c>
      <c r="O30" s="80">
        <v>154.098291877826</v>
      </c>
      <c r="P30" s="80">
        <v>163.94337896211522</v>
      </c>
      <c r="Q30" s="81">
        <v>169.910098407139</v>
      </c>
      <c r="R30" s="62"/>
      <c r="S30" s="62"/>
      <c r="T30" s="62"/>
    </row>
    <row r="31" spans="2:20" ht="18.75">
      <c r="B31" s="33" t="s">
        <v>22</v>
      </c>
      <c r="C31" s="34">
        <f>C30/C5</f>
        <v>-1.6128093158660844E-2</v>
      </c>
      <c r="D31" s="35">
        <v>0.04</v>
      </c>
      <c r="E31" s="35">
        <v>3.5000000000000003E-2</v>
      </c>
      <c r="F31" s="35">
        <v>3.5000000000000003E-2</v>
      </c>
      <c r="G31" s="35">
        <v>0.03</v>
      </c>
      <c r="H31" s="35">
        <v>0.03</v>
      </c>
      <c r="I31" s="35">
        <v>2.5000000000000001E-2</v>
      </c>
      <c r="J31" s="62"/>
      <c r="K31" s="447"/>
      <c r="L31" s="75">
        <v>0.108</v>
      </c>
      <c r="M31" s="79">
        <v>132.15745326300478</v>
      </c>
      <c r="N31" s="80">
        <v>143.90347352423521</v>
      </c>
      <c r="O31" s="82">
        <v>151.83203720056576</v>
      </c>
      <c r="P31" s="80">
        <v>161.52250391608084</v>
      </c>
      <c r="Q31" s="81">
        <v>167.39551404669606</v>
      </c>
      <c r="R31" s="62"/>
      <c r="S31" s="62"/>
      <c r="T31" s="62"/>
    </row>
    <row r="32" spans="2:20" ht="18.75">
      <c r="B32" s="36"/>
      <c r="C32" s="28"/>
      <c r="D32" s="27"/>
      <c r="E32" s="27"/>
      <c r="F32" s="27"/>
      <c r="G32" s="27"/>
      <c r="H32" s="27"/>
      <c r="I32" s="27"/>
      <c r="J32" s="62"/>
      <c r="K32" s="447"/>
      <c r="L32" s="75">
        <v>0.113</v>
      </c>
      <c r="M32" s="79">
        <v>130.24345887159171</v>
      </c>
      <c r="N32" s="80">
        <v>141.80582804632635</v>
      </c>
      <c r="O32" s="80">
        <v>149.61042723927224</v>
      </c>
      <c r="P32" s="80">
        <v>159.14938180842827</v>
      </c>
      <c r="Q32" s="81">
        <v>164.93056639579558</v>
      </c>
      <c r="R32" s="62"/>
      <c r="S32" s="62"/>
      <c r="T32" s="62"/>
    </row>
    <row r="33" spans="2:20" ht="19.5" thickBot="1">
      <c r="B33" s="37" t="s">
        <v>127</v>
      </c>
      <c r="C33" s="49">
        <f t="shared" ref="C33:I33" si="10">C22+C24+C27+C30</f>
        <v>578.29999999999984</v>
      </c>
      <c r="D33" s="50">
        <f t="shared" si="10"/>
        <v>866.77334399999995</v>
      </c>
      <c r="E33" s="50">
        <f t="shared" si="10"/>
        <v>1090.3641600000001</v>
      </c>
      <c r="F33" s="50">
        <f t="shared" si="10"/>
        <v>1298.6818469999998</v>
      </c>
      <c r="G33" s="50">
        <f t="shared" si="10"/>
        <v>1578.4191248759998</v>
      </c>
      <c r="H33" s="50">
        <f t="shared" si="10"/>
        <v>1907.1552572087398</v>
      </c>
      <c r="I33" s="50">
        <f t="shared" si="10"/>
        <v>2177.0975860378667</v>
      </c>
      <c r="J33" s="62"/>
      <c r="K33" s="448"/>
      <c r="L33" s="83">
        <v>0.11799999999999999</v>
      </c>
      <c r="M33" s="84">
        <v>128.36687317164848</v>
      </c>
      <c r="N33" s="85">
        <v>139.74926664779068</v>
      </c>
      <c r="O33" s="85">
        <v>147.43238224418667</v>
      </c>
      <c r="P33" s="85">
        <v>156.82285686200399</v>
      </c>
      <c r="Q33" s="86">
        <v>162.51405360007507</v>
      </c>
      <c r="R33" s="62"/>
      <c r="S33" s="62"/>
      <c r="T33" s="62"/>
    </row>
    <row r="34" spans="2:20" ht="18.75">
      <c r="B34" s="27"/>
      <c r="C34" s="27"/>
      <c r="D34" s="27"/>
      <c r="E34" s="27"/>
      <c r="F34" s="27"/>
      <c r="G34" s="27"/>
      <c r="H34" s="27"/>
      <c r="I34" s="27"/>
      <c r="J34" s="62"/>
      <c r="K34" s="65"/>
      <c r="L34" s="66"/>
      <c r="M34" s="62"/>
      <c r="N34" s="62"/>
      <c r="O34" s="62"/>
      <c r="P34" s="62"/>
      <c r="Q34" s="62"/>
      <c r="R34" s="62"/>
      <c r="S34" s="62"/>
      <c r="T34" s="62"/>
    </row>
    <row r="35" spans="2:20" ht="18.75">
      <c r="B35" s="87" t="s">
        <v>128</v>
      </c>
      <c r="C35" s="61">
        <v>2024</v>
      </c>
      <c r="D35" s="89">
        <v>2025</v>
      </c>
      <c r="E35" s="89">
        <v>2026</v>
      </c>
      <c r="F35" s="89">
        <v>2027</v>
      </c>
      <c r="G35" s="89">
        <v>2028</v>
      </c>
      <c r="H35" s="89">
        <v>2029</v>
      </c>
      <c r="I35" s="89">
        <v>2030</v>
      </c>
      <c r="J35" s="62"/>
      <c r="K35" s="26"/>
      <c r="L35" s="64"/>
      <c r="M35" s="62"/>
      <c r="N35" s="62"/>
      <c r="O35" s="62"/>
      <c r="P35" s="62"/>
      <c r="Q35" s="62"/>
      <c r="R35" s="62"/>
      <c r="S35" s="62"/>
      <c r="T35" s="62"/>
    </row>
    <row r="36" spans="2:20" ht="18.75">
      <c r="B36" s="27"/>
      <c r="C36" s="28"/>
      <c r="D36" s="27"/>
      <c r="E36" s="27"/>
      <c r="F36" s="27"/>
      <c r="G36" s="27"/>
      <c r="H36" s="27"/>
      <c r="I36" s="27"/>
      <c r="J36" s="62"/>
      <c r="K36" s="26"/>
      <c r="L36" s="40"/>
      <c r="M36" s="62"/>
      <c r="N36" s="62"/>
      <c r="O36" s="62"/>
      <c r="P36" s="62"/>
      <c r="Q36" s="62"/>
      <c r="R36" s="62"/>
      <c r="S36" s="62"/>
      <c r="T36" s="62"/>
    </row>
    <row r="37" spans="2:20" ht="18.75">
      <c r="B37" s="30" t="s">
        <v>129</v>
      </c>
      <c r="C37" s="51">
        <v>0.5</v>
      </c>
      <c r="D37" s="52">
        <v>1</v>
      </c>
      <c r="E37" s="52">
        <v>1.5</v>
      </c>
      <c r="F37" s="52">
        <v>2</v>
      </c>
      <c r="G37" s="52">
        <v>2.5</v>
      </c>
      <c r="H37" s="52">
        <v>3</v>
      </c>
      <c r="I37" s="52">
        <v>3.5</v>
      </c>
      <c r="J37" s="62"/>
      <c r="K37" s="41"/>
      <c r="L37" s="42"/>
      <c r="M37" s="62"/>
      <c r="N37" s="62"/>
      <c r="O37" s="62"/>
      <c r="P37" s="62"/>
      <c r="Q37" s="62"/>
      <c r="R37" s="62"/>
      <c r="S37" s="62"/>
      <c r="T37" s="62"/>
    </row>
    <row r="38" spans="2:20" ht="18.75">
      <c r="B38" s="27"/>
      <c r="C38" s="28"/>
      <c r="D38" s="27"/>
      <c r="E38" s="27"/>
      <c r="F38" s="27"/>
      <c r="G38" s="27"/>
      <c r="H38" s="27"/>
      <c r="I38" s="27"/>
      <c r="J38" s="62"/>
      <c r="K38" s="26"/>
      <c r="L38" s="40"/>
      <c r="M38" s="62"/>
      <c r="N38" s="62"/>
      <c r="O38" s="62"/>
      <c r="P38" s="62"/>
      <c r="Q38" s="62"/>
      <c r="R38" s="62"/>
      <c r="S38" s="62"/>
      <c r="T38" s="62"/>
    </row>
    <row r="39" spans="2:20" ht="18.75">
      <c r="B39" s="30" t="s">
        <v>106</v>
      </c>
      <c r="C39" s="53">
        <v>0.108</v>
      </c>
      <c r="D39" s="54">
        <f t="shared" ref="D39:I39" si="11">C39</f>
        <v>0.108</v>
      </c>
      <c r="E39" s="54">
        <f t="shared" si="11"/>
        <v>0.108</v>
      </c>
      <c r="F39" s="54">
        <f t="shared" si="11"/>
        <v>0.108</v>
      </c>
      <c r="G39" s="54">
        <f t="shared" si="11"/>
        <v>0.108</v>
      </c>
      <c r="H39" s="54">
        <f t="shared" si="11"/>
        <v>0.108</v>
      </c>
      <c r="I39" s="54">
        <f t="shared" si="11"/>
        <v>0.108</v>
      </c>
      <c r="J39" s="62"/>
      <c r="L39" s="40"/>
      <c r="M39" s="62"/>
      <c r="N39" s="62"/>
      <c r="O39" s="62"/>
      <c r="P39" s="62"/>
      <c r="Q39" s="62"/>
      <c r="R39" s="62"/>
      <c r="S39" s="62"/>
      <c r="T39" s="62"/>
    </row>
    <row r="40" spans="2:20" ht="18.75">
      <c r="B40" s="27"/>
      <c r="C40" s="28"/>
      <c r="D40" s="27"/>
      <c r="E40" s="27"/>
      <c r="F40" s="27"/>
      <c r="G40" s="27"/>
      <c r="H40" s="27"/>
      <c r="I40" s="27"/>
      <c r="J40" s="62"/>
      <c r="K40" s="26"/>
      <c r="L40" s="44"/>
      <c r="M40" s="62"/>
      <c r="N40" s="62"/>
      <c r="O40" s="62"/>
      <c r="P40" s="62"/>
      <c r="Q40" s="62"/>
      <c r="R40" s="62"/>
      <c r="S40" s="62"/>
      <c r="T40" s="62"/>
    </row>
    <row r="41" spans="2:20" ht="18.75">
      <c r="B41" s="30" t="s">
        <v>130</v>
      </c>
      <c r="C41" s="55">
        <f>(1/((1+$J$38)^C37))</f>
        <v>1</v>
      </c>
      <c r="D41" s="56">
        <f t="shared" ref="D41:I41" si="12">(1/((1+$C$39)^D37))</f>
        <v>0.90252707581227432</v>
      </c>
      <c r="E41" s="56">
        <f t="shared" si="12"/>
        <v>0.8574135833218709</v>
      </c>
      <c r="F41" s="56">
        <f t="shared" si="12"/>
        <v>0.81455512257425466</v>
      </c>
      <c r="G41" s="56">
        <f t="shared" si="12"/>
        <v>0.77383897411721181</v>
      </c>
      <c r="H41" s="56">
        <f t="shared" si="12"/>
        <v>0.7351580528648507</v>
      </c>
      <c r="I41" s="56">
        <f t="shared" si="12"/>
        <v>0.69841062645957752</v>
      </c>
      <c r="J41" s="62"/>
      <c r="K41" s="65"/>
      <c r="L41" s="71"/>
      <c r="M41" s="62"/>
      <c r="N41" s="62"/>
      <c r="O41" s="62"/>
      <c r="P41" s="62"/>
      <c r="Q41" s="62"/>
      <c r="R41" s="62"/>
      <c r="S41" s="62"/>
      <c r="T41" s="62"/>
    </row>
    <row r="42" spans="2:20" ht="18.75">
      <c r="B42" s="27"/>
      <c r="C42" s="28"/>
      <c r="D42" s="27"/>
      <c r="E42" s="27"/>
      <c r="F42" s="27"/>
      <c r="G42" s="27"/>
      <c r="H42" s="27"/>
      <c r="I42" s="27"/>
      <c r="J42" s="62"/>
      <c r="K42" s="26"/>
      <c r="L42" s="40"/>
      <c r="M42" s="62"/>
      <c r="N42" s="62"/>
      <c r="O42" s="62"/>
      <c r="P42" s="62"/>
      <c r="Q42" s="62"/>
      <c r="R42" s="62"/>
      <c r="S42" s="62"/>
      <c r="T42" s="62"/>
    </row>
    <row r="43" spans="2:20" ht="18.75">
      <c r="B43" s="30" t="s">
        <v>131</v>
      </c>
      <c r="C43" s="57">
        <f t="shared" ref="C43:I43" si="13">C33*C41</f>
        <v>578.29999999999984</v>
      </c>
      <c r="D43" s="58">
        <f t="shared" si="13"/>
        <v>782.28641155234652</v>
      </c>
      <c r="E43" s="58">
        <f t="shared" si="13"/>
        <v>934.89304155134187</v>
      </c>
      <c r="F43" s="58">
        <f t="shared" si="13"/>
        <v>1057.8479510680443</v>
      </c>
      <c r="G43" s="58">
        <f t="shared" si="13"/>
        <v>1221.442236321031</v>
      </c>
      <c r="H43" s="58">
        <f t="shared" si="13"/>
        <v>1402.0605454005406</v>
      </c>
      <c r="I43" s="58">
        <f t="shared" si="13"/>
        <v>1520.5080889283404</v>
      </c>
      <c r="J43" s="62"/>
      <c r="K43" s="26"/>
      <c r="L43" s="45"/>
      <c r="M43" s="62"/>
      <c r="N43" s="62"/>
      <c r="O43" s="62"/>
      <c r="P43" s="62"/>
      <c r="Q43" s="62"/>
      <c r="R43" s="62"/>
      <c r="S43" s="62"/>
      <c r="T43" s="62"/>
    </row>
  </sheetData>
  <mergeCells count="7">
    <mergeCell ref="K29:K33"/>
    <mergeCell ref="B1:V1"/>
    <mergeCell ref="K3:L3"/>
    <mergeCell ref="N3:O3"/>
    <mergeCell ref="R14:S14"/>
    <mergeCell ref="K27:L27"/>
    <mergeCell ref="M27:Q27"/>
  </mergeCells>
  <conditionalFormatting sqref="M29:Q33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EE502-05FD-44C8-BBA4-0A18C38F26F8}">
  <sheetPr>
    <tabColor rgb="FF00B0F0"/>
  </sheetPr>
  <dimension ref="B1:BH61"/>
  <sheetViews>
    <sheetView zoomScale="120" zoomScaleNormal="120" workbookViewId="0">
      <selection activeCell="R38" sqref="R38"/>
    </sheetView>
  </sheetViews>
  <sheetFormatPr defaultColWidth="10" defaultRowHeight="15"/>
  <cols>
    <col min="1" max="1" width="10" style="96"/>
    <col min="2" max="2" width="21.85546875" style="96" customWidth="1"/>
    <col min="3" max="3" width="13.140625" style="96" customWidth="1"/>
    <col min="4" max="4" width="8.42578125" style="96" customWidth="1"/>
    <col min="5" max="5" width="21.85546875" style="96" customWidth="1"/>
    <col min="6" max="6" width="13.140625" style="96" customWidth="1"/>
    <col min="7" max="7" width="8.42578125" style="96" customWidth="1"/>
    <col min="8" max="8" width="21.85546875" style="96" customWidth="1"/>
    <col min="9" max="9" width="13.140625" style="96" customWidth="1"/>
    <col min="10" max="10" width="8.42578125" style="96" customWidth="1"/>
    <col min="11" max="11" width="21.85546875" style="96" customWidth="1"/>
    <col min="12" max="12" width="13.140625" style="96" customWidth="1"/>
    <col min="13" max="13" width="8.42578125" style="96" customWidth="1"/>
    <col min="14" max="14" width="21.85546875" style="96" customWidth="1"/>
    <col min="15" max="15" width="13.28515625" style="96" customWidth="1"/>
    <col min="16" max="16" width="8.42578125" style="96" customWidth="1"/>
    <col min="17" max="17" width="21.85546875" style="96" customWidth="1"/>
    <col min="18" max="18" width="13.140625" style="96" customWidth="1"/>
    <col min="19" max="19" width="8.42578125" style="96" customWidth="1"/>
    <col min="20" max="20" width="21.85546875" style="96" customWidth="1"/>
    <col min="21" max="21" width="13.140625" style="96" customWidth="1"/>
    <col min="22" max="22" width="8.42578125" style="96" customWidth="1"/>
    <col min="23" max="23" width="21.85546875" style="96" customWidth="1"/>
    <col min="24" max="24" width="13.140625" style="96" customWidth="1"/>
    <col min="25" max="25" width="8.42578125" style="96" customWidth="1"/>
    <col min="26" max="26" width="21.85546875" style="96" customWidth="1"/>
    <col min="27" max="27" width="13.140625" style="96" customWidth="1"/>
    <col min="28" max="28" width="8.42578125" style="96" customWidth="1"/>
    <col min="29" max="29" width="21.85546875" style="96" customWidth="1"/>
    <col min="30" max="30" width="13.140625" style="96" customWidth="1"/>
    <col min="31" max="31" width="8.42578125" style="96" customWidth="1"/>
    <col min="32" max="32" width="21.85546875" style="96" customWidth="1"/>
    <col min="33" max="33" width="13.140625" style="96" customWidth="1"/>
    <col min="34" max="34" width="8.42578125" style="96" customWidth="1"/>
    <col min="35" max="35" width="21.85546875" style="96" customWidth="1"/>
    <col min="36" max="36" width="13.140625" style="96" customWidth="1"/>
    <col min="37" max="37" width="8.42578125" style="96" customWidth="1"/>
    <col min="38" max="38" width="21.85546875" style="96" customWidth="1"/>
    <col min="39" max="39" width="13.140625" style="96" customWidth="1"/>
    <col min="40" max="40" width="8.42578125" style="96" customWidth="1"/>
    <col min="41" max="41" width="21.85546875" style="96" customWidth="1"/>
    <col min="42" max="42" width="13.140625" style="96" customWidth="1"/>
    <col min="43" max="43" width="8.42578125" style="96" customWidth="1"/>
    <col min="44" max="44" width="21.85546875" style="96" customWidth="1"/>
    <col min="45" max="45" width="13.140625" style="96" customWidth="1"/>
    <col min="46" max="46" width="8.42578125" style="96" customWidth="1"/>
    <col min="47" max="47" width="21.85546875" style="96" customWidth="1"/>
    <col min="48" max="48" width="13.140625" style="96" customWidth="1"/>
    <col min="49" max="49" width="8.42578125" style="96" customWidth="1"/>
    <col min="50" max="50" width="21.85546875" style="96" customWidth="1"/>
    <col min="51" max="51" width="13.140625" style="96" customWidth="1"/>
    <col min="52" max="52" width="8.42578125" style="96" customWidth="1"/>
    <col min="53" max="53" width="21.85546875" style="96" customWidth="1"/>
    <col min="54" max="54" width="13.140625" style="96" customWidth="1"/>
    <col min="55" max="55" width="8.42578125" style="96" customWidth="1"/>
    <col min="56" max="56" width="21.85546875" style="96" customWidth="1"/>
    <col min="57" max="57" width="13.140625" style="96" customWidth="1"/>
    <col min="58" max="58" width="8.42578125" style="96" customWidth="1"/>
    <col min="59" max="59" width="21.85546875" style="96" customWidth="1"/>
    <col min="60" max="60" width="13.140625" style="96" customWidth="1"/>
    <col min="61" max="61" width="8.42578125" style="96" customWidth="1"/>
    <col min="62" max="16384" width="10" style="96"/>
  </cols>
  <sheetData>
    <row r="1" spans="2:60" ht="45.75">
      <c r="B1" s="444" t="s">
        <v>141</v>
      </c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44"/>
      <c r="AE1" s="444"/>
      <c r="AF1" s="444"/>
      <c r="AG1" s="444"/>
      <c r="AH1" s="444"/>
      <c r="AI1" s="444"/>
      <c r="AJ1" s="444"/>
      <c r="AK1" s="444"/>
      <c r="AL1" s="444"/>
      <c r="AM1" s="444"/>
      <c r="AN1" s="444"/>
      <c r="AO1" s="444"/>
      <c r="AP1" s="444"/>
      <c r="AQ1" s="444"/>
      <c r="AR1" s="444"/>
      <c r="AS1" s="444"/>
      <c r="AT1" s="444"/>
      <c r="AU1" s="444"/>
      <c r="AV1" s="444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</row>
    <row r="2" spans="2:60">
      <c r="G2" s="315"/>
    </row>
    <row r="3" spans="2:60">
      <c r="B3" s="456" t="s">
        <v>142</v>
      </c>
      <c r="C3" s="457"/>
      <c r="E3" s="458">
        <v>1</v>
      </c>
      <c r="F3" s="458"/>
      <c r="H3" s="458">
        <f>E3+1</f>
        <v>2</v>
      </c>
      <c r="I3" s="458"/>
      <c r="J3" s="96" t="s">
        <v>67</v>
      </c>
      <c r="K3" s="458">
        <f>H3+1</f>
        <v>3</v>
      </c>
      <c r="L3" s="458"/>
      <c r="N3" s="458">
        <f>K3+1</f>
        <v>4</v>
      </c>
      <c r="O3" s="458"/>
      <c r="P3" s="96" t="s">
        <v>67</v>
      </c>
      <c r="Q3" s="458">
        <f>N3+1</f>
        <v>5</v>
      </c>
      <c r="R3" s="458"/>
      <c r="T3" s="458">
        <f>Q3+1</f>
        <v>6</v>
      </c>
      <c r="U3" s="458"/>
      <c r="W3" s="458">
        <f>T3+1</f>
        <v>7</v>
      </c>
      <c r="X3" s="458"/>
      <c r="Y3" s="96" t="s">
        <v>67</v>
      </c>
      <c r="Z3" s="458">
        <f>W3+1</f>
        <v>8</v>
      </c>
      <c r="AA3" s="458"/>
      <c r="AB3" s="96" t="s">
        <v>67</v>
      </c>
      <c r="AC3" s="458">
        <f>Z3+1</f>
        <v>9</v>
      </c>
      <c r="AD3" s="458"/>
      <c r="AE3" s="96" t="s">
        <v>67</v>
      </c>
      <c r="AF3" s="458">
        <f>AC3+1</f>
        <v>10</v>
      </c>
      <c r="AG3" s="458"/>
      <c r="AI3" s="458">
        <f>AF3+1</f>
        <v>11</v>
      </c>
      <c r="AJ3" s="458"/>
    </row>
    <row r="4" spans="2:60">
      <c r="B4" s="460" t="s">
        <v>143</v>
      </c>
      <c r="C4" s="461"/>
      <c r="D4" s="97"/>
      <c r="F4" s="98" t="s">
        <v>144</v>
      </c>
      <c r="G4" s="99"/>
      <c r="I4" s="100" t="s">
        <v>145</v>
      </c>
      <c r="J4" s="99"/>
      <c r="L4" s="100" t="s">
        <v>146</v>
      </c>
      <c r="M4" s="99"/>
      <c r="O4" s="101" t="s">
        <v>147</v>
      </c>
      <c r="P4" s="99"/>
      <c r="Q4" s="102" t="s">
        <v>67</v>
      </c>
      <c r="R4" s="101" t="s">
        <v>148</v>
      </c>
      <c r="S4" s="103"/>
      <c r="T4" s="102" t="s">
        <v>67</v>
      </c>
      <c r="U4" s="101" t="s">
        <v>149</v>
      </c>
      <c r="V4" s="99"/>
      <c r="W4" s="102" t="s">
        <v>67</v>
      </c>
      <c r="X4" s="101" t="s">
        <v>52</v>
      </c>
      <c r="Y4" s="99"/>
      <c r="Z4" s="102" t="s">
        <v>67</v>
      </c>
      <c r="AA4" s="101" t="s">
        <v>150</v>
      </c>
      <c r="AC4" s="102" t="s">
        <v>67</v>
      </c>
      <c r="AD4" s="101" t="s">
        <v>151</v>
      </c>
      <c r="AE4" s="99"/>
      <c r="AF4" s="102" t="s">
        <v>67</v>
      </c>
      <c r="AG4" s="101" t="s">
        <v>152</v>
      </c>
      <c r="AI4" s="102" t="s">
        <v>67</v>
      </c>
      <c r="AJ4" s="101" t="s">
        <v>55</v>
      </c>
    </row>
    <row r="5" spans="2:60">
      <c r="B5" s="460" t="s">
        <v>153</v>
      </c>
      <c r="C5" s="461"/>
      <c r="D5" s="97"/>
      <c r="F5" s="98" t="s">
        <v>154</v>
      </c>
      <c r="G5" s="99"/>
      <c r="I5" s="100" t="s">
        <v>155</v>
      </c>
      <c r="J5" s="99"/>
      <c r="L5" s="100" t="s">
        <v>156</v>
      </c>
      <c r="M5" s="99"/>
      <c r="O5" s="101" t="s">
        <v>157</v>
      </c>
      <c r="P5" s="99"/>
      <c r="Q5" s="102"/>
      <c r="R5" s="101" t="s">
        <v>158</v>
      </c>
      <c r="S5" s="103"/>
      <c r="T5" s="102"/>
      <c r="U5" s="101" t="s">
        <v>159</v>
      </c>
      <c r="V5" s="99"/>
      <c r="W5" s="102"/>
      <c r="X5" s="101" t="s">
        <v>160</v>
      </c>
      <c r="Y5" s="99"/>
      <c r="Z5" s="102"/>
      <c r="AA5" s="101" t="s">
        <v>161</v>
      </c>
      <c r="AC5" s="102"/>
      <c r="AD5" s="101" t="s">
        <v>162</v>
      </c>
      <c r="AE5" s="99"/>
      <c r="AF5" s="102"/>
      <c r="AG5" s="101" t="s">
        <v>163</v>
      </c>
      <c r="AI5" s="102"/>
      <c r="AJ5" s="101" t="s">
        <v>164</v>
      </c>
    </row>
    <row r="6" spans="2:60">
      <c r="B6" s="104" t="s">
        <v>165</v>
      </c>
      <c r="C6" s="105" t="s">
        <v>166</v>
      </c>
      <c r="E6" s="106" t="s">
        <v>165</v>
      </c>
      <c r="F6" s="107" t="s">
        <v>166</v>
      </c>
      <c r="G6" s="108"/>
      <c r="H6" s="106" t="s">
        <v>165</v>
      </c>
      <c r="I6" s="107" t="s">
        <v>166</v>
      </c>
      <c r="J6" s="108"/>
      <c r="K6" s="106" t="s">
        <v>165</v>
      </c>
      <c r="L6" s="107" t="s">
        <v>166</v>
      </c>
      <c r="M6" s="108"/>
      <c r="N6" s="106" t="s">
        <v>165</v>
      </c>
      <c r="O6" s="107" t="s">
        <v>166</v>
      </c>
      <c r="P6" s="109"/>
      <c r="Q6" s="106" t="s">
        <v>165</v>
      </c>
      <c r="R6" s="107" t="s">
        <v>166</v>
      </c>
      <c r="S6" s="110"/>
      <c r="T6" s="106" t="s">
        <v>165</v>
      </c>
      <c r="U6" s="107" t="s">
        <v>166</v>
      </c>
      <c r="V6" s="109"/>
      <c r="W6" s="106" t="s">
        <v>165</v>
      </c>
      <c r="X6" s="107" t="s">
        <v>166</v>
      </c>
      <c r="Y6" s="99"/>
      <c r="Z6" s="106" t="s">
        <v>165</v>
      </c>
      <c r="AA6" s="107" t="s">
        <v>166</v>
      </c>
      <c r="AB6" s="109"/>
      <c r="AC6" s="106" t="s">
        <v>165</v>
      </c>
      <c r="AD6" s="107" t="s">
        <v>166</v>
      </c>
      <c r="AE6" s="109"/>
      <c r="AF6" s="106" t="s">
        <v>165</v>
      </c>
      <c r="AG6" s="107" t="s">
        <v>166</v>
      </c>
      <c r="AI6" s="106" t="s">
        <v>165</v>
      </c>
      <c r="AJ6" s="107" t="s">
        <v>166</v>
      </c>
    </row>
    <row r="7" spans="2:60">
      <c r="B7" s="111" t="s">
        <v>167</v>
      </c>
      <c r="C7" s="112">
        <v>4249.8</v>
      </c>
      <c r="E7" s="113" t="s">
        <v>167</v>
      </c>
      <c r="F7" s="114">
        <v>2753</v>
      </c>
      <c r="G7" s="108"/>
      <c r="H7" s="113" t="s">
        <v>167</v>
      </c>
      <c r="I7" s="115">
        <v>31099.1</v>
      </c>
      <c r="J7" s="108"/>
      <c r="K7" s="113" t="s">
        <v>167</v>
      </c>
      <c r="L7" s="115">
        <v>212.7</v>
      </c>
      <c r="M7" s="108"/>
      <c r="N7" s="113" t="s">
        <v>167</v>
      </c>
      <c r="O7" s="115">
        <v>5586.5</v>
      </c>
      <c r="P7" s="108"/>
      <c r="Q7" s="113" t="s">
        <v>167</v>
      </c>
      <c r="R7" s="114">
        <v>6736</v>
      </c>
      <c r="S7" s="116"/>
      <c r="T7" s="113" t="s">
        <v>167</v>
      </c>
      <c r="U7" s="114">
        <v>4341.1000000000004</v>
      </c>
      <c r="V7" s="108"/>
      <c r="W7" s="113" t="s">
        <v>167</v>
      </c>
      <c r="X7" s="114">
        <v>5510.6</v>
      </c>
      <c r="Y7" s="99"/>
      <c r="Z7" s="113" t="s">
        <v>167</v>
      </c>
      <c r="AA7" s="114">
        <v>2938.6</v>
      </c>
      <c r="AB7" s="108"/>
      <c r="AC7" s="113" t="s">
        <v>167</v>
      </c>
      <c r="AD7" s="114">
        <v>10638.1</v>
      </c>
      <c r="AE7" s="108"/>
      <c r="AF7" s="113" t="s">
        <v>167</v>
      </c>
      <c r="AG7" s="114">
        <v>1924.2</v>
      </c>
      <c r="AI7" s="113" t="s">
        <v>167</v>
      </c>
      <c r="AJ7" s="114">
        <v>11311</v>
      </c>
    </row>
    <row r="8" spans="2:60">
      <c r="B8" s="117" t="s">
        <v>168</v>
      </c>
      <c r="C8" s="118">
        <v>46387</v>
      </c>
      <c r="E8" s="119" t="s">
        <v>168</v>
      </c>
      <c r="F8" s="120">
        <v>46295</v>
      </c>
      <c r="G8" s="108"/>
      <c r="H8" s="119" t="s">
        <v>168</v>
      </c>
      <c r="I8" s="120">
        <v>46387</v>
      </c>
      <c r="J8" s="108"/>
      <c r="K8" s="119" t="s">
        <v>168</v>
      </c>
      <c r="L8" s="120">
        <v>46387</v>
      </c>
      <c r="M8" s="108"/>
      <c r="N8" s="119" t="s">
        <v>168</v>
      </c>
      <c r="O8" s="120">
        <v>46387</v>
      </c>
      <c r="P8" s="108"/>
      <c r="Q8" s="119" t="s">
        <v>168</v>
      </c>
      <c r="R8" s="120">
        <v>46387</v>
      </c>
      <c r="S8" s="116"/>
      <c r="T8" s="119" t="s">
        <v>168</v>
      </c>
      <c r="U8" s="120">
        <v>46387</v>
      </c>
      <c r="V8" s="108"/>
      <c r="W8" s="119" t="s">
        <v>168</v>
      </c>
      <c r="X8" s="120">
        <v>46112</v>
      </c>
      <c r="Y8" s="99"/>
      <c r="Z8" s="119" t="s">
        <v>168</v>
      </c>
      <c r="AA8" s="120">
        <v>46387</v>
      </c>
      <c r="AB8" s="108"/>
      <c r="AC8" s="119" t="s">
        <v>168</v>
      </c>
      <c r="AD8" s="120">
        <v>46387</v>
      </c>
      <c r="AE8" s="108"/>
      <c r="AF8" s="119" t="s">
        <v>168</v>
      </c>
      <c r="AG8" s="120">
        <v>46387</v>
      </c>
      <c r="AI8" s="119" t="s">
        <v>168</v>
      </c>
      <c r="AJ8" s="120">
        <v>46053</v>
      </c>
    </row>
    <row r="9" spans="2:60">
      <c r="B9" s="121" t="s">
        <v>169</v>
      </c>
      <c r="C9" s="122">
        <v>2633.2</v>
      </c>
      <c r="E9" s="123" t="s">
        <v>169</v>
      </c>
      <c r="F9" s="114">
        <v>2015.9</v>
      </c>
      <c r="G9" s="108"/>
      <c r="H9" s="123" t="s">
        <v>169</v>
      </c>
      <c r="I9" s="114">
        <v>25619.7</v>
      </c>
      <c r="J9" s="108"/>
      <c r="K9" s="123" t="s">
        <v>169</v>
      </c>
      <c r="L9" s="114">
        <v>230.5</v>
      </c>
      <c r="M9" s="108"/>
      <c r="N9" s="123" t="s">
        <v>169</v>
      </c>
      <c r="O9" s="114">
        <v>4482.8999999999996</v>
      </c>
      <c r="P9" s="108"/>
      <c r="Q9" s="123" t="s">
        <v>169</v>
      </c>
      <c r="R9" s="114">
        <v>5166</v>
      </c>
      <c r="S9" s="116"/>
      <c r="T9" s="123" t="s">
        <v>169</v>
      </c>
      <c r="U9" s="114">
        <v>4102.1000000000004</v>
      </c>
      <c r="V9" s="108"/>
      <c r="W9" s="123" t="s">
        <v>169</v>
      </c>
      <c r="X9" s="114">
        <v>4923.6000000000004</v>
      </c>
      <c r="Y9" s="99"/>
      <c r="Z9" s="123" t="s">
        <v>169</v>
      </c>
      <c r="AA9" s="114">
        <v>2282.9</v>
      </c>
      <c r="AB9" s="108"/>
      <c r="AC9" s="123" t="s">
        <v>169</v>
      </c>
      <c r="AD9" s="114">
        <v>8969.4</v>
      </c>
      <c r="AE9" s="108"/>
      <c r="AF9" s="123" t="s">
        <v>169</v>
      </c>
      <c r="AG9" s="114">
        <v>1755</v>
      </c>
      <c r="AI9" s="123" t="s">
        <v>169</v>
      </c>
      <c r="AJ9" s="114">
        <v>10181.700000000001</v>
      </c>
    </row>
    <row r="10" spans="2:60">
      <c r="B10" s="121" t="s">
        <v>170</v>
      </c>
      <c r="C10" s="124">
        <v>45657</v>
      </c>
      <c r="E10" s="123" t="s">
        <v>170</v>
      </c>
      <c r="F10" s="120">
        <v>45657</v>
      </c>
      <c r="G10" s="108"/>
      <c r="H10" s="123" t="s">
        <v>170</v>
      </c>
      <c r="I10" s="120">
        <v>45657</v>
      </c>
      <c r="J10" s="108"/>
      <c r="K10" s="123" t="s">
        <v>170</v>
      </c>
      <c r="L10" s="120">
        <v>45657</v>
      </c>
      <c r="M10" s="108"/>
      <c r="N10" s="123" t="s">
        <v>170</v>
      </c>
      <c r="O10" s="120">
        <v>45657</v>
      </c>
      <c r="P10" s="108"/>
      <c r="Q10" s="123" t="s">
        <v>170</v>
      </c>
      <c r="R10" s="120">
        <v>45657</v>
      </c>
      <c r="S10" s="116"/>
      <c r="T10" s="123" t="s">
        <v>170</v>
      </c>
      <c r="U10" s="120">
        <v>45657</v>
      </c>
      <c r="V10" s="108"/>
      <c r="W10" s="123" t="s">
        <v>170</v>
      </c>
      <c r="X10" s="120">
        <v>45657</v>
      </c>
      <c r="Y10" s="99"/>
      <c r="Z10" s="123" t="s">
        <v>170</v>
      </c>
      <c r="AA10" s="120">
        <v>45657</v>
      </c>
      <c r="AB10" s="108"/>
      <c r="AC10" s="123" t="s">
        <v>170</v>
      </c>
      <c r="AD10" s="120">
        <v>45657</v>
      </c>
      <c r="AE10" s="108"/>
      <c r="AF10" s="123" t="s">
        <v>170</v>
      </c>
      <c r="AG10" s="120">
        <v>45654</v>
      </c>
      <c r="AI10" s="123" t="s">
        <v>170</v>
      </c>
      <c r="AJ10" s="120">
        <v>45657</v>
      </c>
    </row>
    <row r="11" spans="2:60">
      <c r="B11" s="125" t="s">
        <v>171</v>
      </c>
      <c r="C11" s="112">
        <v>1596.6</v>
      </c>
      <c r="E11" s="113" t="s">
        <v>171</v>
      </c>
      <c r="F11" s="114">
        <v>1183.3</v>
      </c>
      <c r="G11" s="108"/>
      <c r="H11" s="113" t="s">
        <v>171</v>
      </c>
      <c r="I11" s="114">
        <v>13008.4</v>
      </c>
      <c r="J11" s="108"/>
      <c r="K11" s="113" t="s">
        <v>171</v>
      </c>
      <c r="L11" s="114">
        <v>166.1</v>
      </c>
      <c r="M11" s="108"/>
      <c r="N11" s="113" t="s">
        <v>171</v>
      </c>
      <c r="O11" s="114">
        <v>2503.1999999999998</v>
      </c>
      <c r="P11" s="108"/>
      <c r="Q11" s="113" t="s">
        <v>171</v>
      </c>
      <c r="R11" s="114">
        <v>2856</v>
      </c>
      <c r="S11" s="116"/>
      <c r="T11" s="113" t="s">
        <v>171</v>
      </c>
      <c r="U11" s="114">
        <v>2413.5</v>
      </c>
      <c r="V11" s="108"/>
      <c r="W11" s="113" t="s">
        <v>171</v>
      </c>
      <c r="X11" s="114">
        <v>2845.4</v>
      </c>
      <c r="Y11" s="99"/>
      <c r="Z11" s="113" t="s">
        <v>171</v>
      </c>
      <c r="AA11" s="114">
        <v>936.9</v>
      </c>
      <c r="AB11" s="108"/>
      <c r="AC11" s="113" t="s">
        <v>171</v>
      </c>
      <c r="AD11" s="114">
        <v>4767.3999999999996</v>
      </c>
      <c r="AE11" s="108"/>
      <c r="AF11" s="113" t="s">
        <v>171</v>
      </c>
      <c r="AG11" s="114">
        <v>781.5</v>
      </c>
      <c r="AI11" s="113" t="s">
        <v>171</v>
      </c>
      <c r="AJ11" s="114">
        <v>5992.3</v>
      </c>
    </row>
    <row r="12" spans="2:60">
      <c r="B12" s="125" t="s">
        <v>172</v>
      </c>
      <c r="C12" s="112">
        <v>359.3</v>
      </c>
      <c r="D12" s="459"/>
      <c r="E12" s="113" t="s">
        <v>172</v>
      </c>
      <c r="F12" s="114">
        <v>64.7</v>
      </c>
      <c r="G12" s="108"/>
      <c r="H12" s="113" t="s">
        <v>172</v>
      </c>
      <c r="I12" s="114">
        <v>2815.9</v>
      </c>
      <c r="J12" s="108"/>
      <c r="K12" s="113" t="s">
        <v>172</v>
      </c>
      <c r="L12" s="114">
        <v>45.6</v>
      </c>
      <c r="M12" s="108"/>
      <c r="N12" s="113" t="s">
        <v>172</v>
      </c>
      <c r="O12" s="114">
        <v>808.1</v>
      </c>
      <c r="P12" s="108"/>
      <c r="Q12" s="113" t="s">
        <v>172</v>
      </c>
      <c r="R12" s="114">
        <v>825.3</v>
      </c>
      <c r="S12" s="116"/>
      <c r="T12" s="113" t="s">
        <v>172</v>
      </c>
      <c r="U12" s="126">
        <v>1181.5</v>
      </c>
      <c r="V12" s="108"/>
      <c r="W12" s="113" t="s">
        <v>172</v>
      </c>
      <c r="X12" s="126">
        <v>1226</v>
      </c>
      <c r="Y12" s="99"/>
      <c r="Z12" s="113" t="s">
        <v>172</v>
      </c>
      <c r="AA12" s="126">
        <v>322.3</v>
      </c>
      <c r="AB12" s="108"/>
      <c r="AC12" s="113" t="s">
        <v>172</v>
      </c>
      <c r="AD12" s="126">
        <v>1115.8</v>
      </c>
      <c r="AE12" s="108"/>
      <c r="AF12" s="113" t="s">
        <v>172</v>
      </c>
      <c r="AG12" s="126">
        <v>146</v>
      </c>
      <c r="AI12" s="113" t="s">
        <v>172</v>
      </c>
      <c r="AJ12" s="126">
        <v>2868.1</v>
      </c>
    </row>
    <row r="13" spans="2:60">
      <c r="B13" s="125" t="s">
        <v>173</v>
      </c>
      <c r="C13" s="112">
        <v>240.9</v>
      </c>
      <c r="D13" s="459"/>
      <c r="E13" s="113" t="s">
        <v>173</v>
      </c>
      <c r="F13" s="114">
        <v>528</v>
      </c>
      <c r="G13" s="108"/>
      <c r="H13" s="113" t="s">
        <v>173</v>
      </c>
      <c r="I13" s="114">
        <v>1558</v>
      </c>
      <c r="J13" s="108"/>
      <c r="K13" s="113" t="s">
        <v>173</v>
      </c>
      <c r="L13" s="114">
        <v>31</v>
      </c>
      <c r="M13" s="108"/>
      <c r="N13" s="113" t="s">
        <v>173</v>
      </c>
      <c r="O13" s="114">
        <v>664</v>
      </c>
      <c r="P13" s="108"/>
      <c r="Q13" s="113" t="s">
        <v>173</v>
      </c>
      <c r="R13" s="114">
        <v>551.5</v>
      </c>
      <c r="S13" s="116"/>
      <c r="T13" s="113" t="s">
        <v>173</v>
      </c>
      <c r="U13" s="114">
        <v>1049</v>
      </c>
      <c r="V13" s="108"/>
      <c r="W13" s="113" t="s">
        <v>173</v>
      </c>
      <c r="X13" s="114">
        <v>1156.0999999999999</v>
      </c>
      <c r="Y13" s="99"/>
      <c r="Z13" s="113" t="s">
        <v>173</v>
      </c>
      <c r="AA13" s="114">
        <v>266.3</v>
      </c>
      <c r="AB13" s="108"/>
      <c r="AC13" s="113" t="s">
        <v>173</v>
      </c>
      <c r="AD13" s="114">
        <v>904.3</v>
      </c>
      <c r="AE13" s="108"/>
      <c r="AF13" s="113" t="s">
        <v>173</v>
      </c>
      <c r="AG13" s="114">
        <v>99.9</v>
      </c>
      <c r="AI13" s="113" t="s">
        <v>173</v>
      </c>
      <c r="AJ13" s="114">
        <v>2451.9</v>
      </c>
    </row>
    <row r="14" spans="2:60">
      <c r="B14" s="125" t="s">
        <v>174</v>
      </c>
      <c r="C14" s="112">
        <v>562.79999999999995</v>
      </c>
      <c r="E14" s="113" t="s">
        <v>174</v>
      </c>
      <c r="F14" s="114">
        <v>413.3</v>
      </c>
      <c r="G14" s="108"/>
      <c r="H14" s="113" t="s">
        <v>174</v>
      </c>
      <c r="I14" s="114">
        <v>2974.9</v>
      </c>
      <c r="J14" s="108"/>
      <c r="K14" s="113" t="s">
        <v>174</v>
      </c>
      <c r="L14" s="114">
        <v>38.9</v>
      </c>
      <c r="M14" s="108"/>
      <c r="N14" s="113" t="s">
        <v>174</v>
      </c>
      <c r="O14" s="114">
        <v>691.2</v>
      </c>
      <c r="P14" s="108"/>
      <c r="Q14" s="113" t="s">
        <v>174</v>
      </c>
      <c r="R14" s="114">
        <v>424.7</v>
      </c>
      <c r="S14" s="116"/>
      <c r="T14" s="113" t="s">
        <v>174</v>
      </c>
      <c r="U14" s="126">
        <v>992.5</v>
      </c>
      <c r="V14" s="108"/>
      <c r="W14" s="113" t="s">
        <v>174</v>
      </c>
      <c r="X14" s="126">
        <v>1088.8</v>
      </c>
      <c r="Y14" s="99"/>
      <c r="Z14" s="113" t="s">
        <v>174</v>
      </c>
      <c r="AA14" s="126">
        <v>198.1</v>
      </c>
      <c r="AB14" s="108"/>
      <c r="AC14" s="113" t="s">
        <v>174</v>
      </c>
      <c r="AD14" s="126">
        <v>687.4</v>
      </c>
      <c r="AE14" s="108"/>
      <c r="AF14" s="113" t="s">
        <v>174</v>
      </c>
      <c r="AG14" s="126">
        <v>180.1</v>
      </c>
      <c r="AI14" s="113" t="s">
        <v>174</v>
      </c>
      <c r="AJ14" s="126">
        <v>2255.4</v>
      </c>
    </row>
    <row r="15" spans="2:60" ht="15.75" thickBot="1">
      <c r="B15" s="127" t="s">
        <v>175</v>
      </c>
      <c r="C15" s="128">
        <v>494.1</v>
      </c>
      <c r="E15" s="129" t="s">
        <v>175</v>
      </c>
      <c r="F15" s="114">
        <v>346.3</v>
      </c>
      <c r="G15" s="108"/>
      <c r="H15" s="129" t="s">
        <v>175</v>
      </c>
      <c r="I15" s="114">
        <v>2708.7</v>
      </c>
      <c r="J15" s="108"/>
      <c r="K15" s="129" t="s">
        <v>175</v>
      </c>
      <c r="L15" s="114">
        <v>38.9</v>
      </c>
      <c r="M15" s="108"/>
      <c r="N15" s="129" t="s">
        <v>175</v>
      </c>
      <c r="O15" s="114">
        <v>616</v>
      </c>
      <c r="P15" s="108"/>
      <c r="Q15" s="129" t="s">
        <v>175</v>
      </c>
      <c r="R15" s="114">
        <v>195.6</v>
      </c>
      <c r="S15" s="116"/>
      <c r="T15" s="129" t="s">
        <v>175</v>
      </c>
      <c r="U15" s="126">
        <v>923.1</v>
      </c>
      <c r="V15" s="108"/>
      <c r="W15" s="129" t="s">
        <v>175</v>
      </c>
      <c r="X15" s="126">
        <v>1003.8</v>
      </c>
      <c r="Y15" s="99"/>
      <c r="Z15" s="129" t="s">
        <v>175</v>
      </c>
      <c r="AA15" s="126">
        <v>172.2</v>
      </c>
      <c r="AB15" s="108"/>
      <c r="AC15" s="129" t="s">
        <v>175</v>
      </c>
      <c r="AD15" s="126">
        <v>270.60000000000002</v>
      </c>
      <c r="AE15" s="108"/>
      <c r="AF15" s="129" t="s">
        <v>175</v>
      </c>
      <c r="AG15" s="126">
        <v>159.9</v>
      </c>
      <c r="AI15" s="129" t="s">
        <v>175</v>
      </c>
      <c r="AJ15" s="126">
        <v>1594.7</v>
      </c>
    </row>
    <row r="16" spans="2:60" ht="15.75" thickBot="1"/>
    <row r="17" spans="2:36" ht="15.75" thickBot="1">
      <c r="B17" s="144" t="s">
        <v>176</v>
      </c>
      <c r="C17" s="150">
        <f>65.1+319.7</f>
        <v>384.79999999999995</v>
      </c>
      <c r="E17" s="145" t="s">
        <v>176</v>
      </c>
      <c r="F17" s="146">
        <f>73.1+1463.9</f>
        <v>1537</v>
      </c>
      <c r="H17" s="145" t="s">
        <v>176</v>
      </c>
      <c r="I17" s="146">
        <f>1337.1+4563.9</f>
        <v>5901</v>
      </c>
      <c r="K17" s="145" t="s">
        <v>176</v>
      </c>
      <c r="L17" s="146">
        <v>74.099999999999994</v>
      </c>
      <c r="N17" s="149" t="s">
        <v>176</v>
      </c>
      <c r="O17" s="146">
        <f>257+488.2</f>
        <v>745.2</v>
      </c>
      <c r="Q17" s="145" t="s">
        <v>176</v>
      </c>
      <c r="R17" s="146">
        <v>1483.2</v>
      </c>
      <c r="T17" s="145" t="s">
        <v>176</v>
      </c>
      <c r="U17" s="146">
        <v>1701.3</v>
      </c>
      <c r="W17" s="145" t="s">
        <v>176</v>
      </c>
      <c r="X17" s="270">
        <v>266.90000000000003</v>
      </c>
      <c r="Z17" s="145" t="s">
        <v>176</v>
      </c>
      <c r="AA17" s="146">
        <v>153</v>
      </c>
      <c r="AC17" s="145" t="s">
        <v>176</v>
      </c>
      <c r="AD17" s="146">
        <v>1929.1</v>
      </c>
      <c r="AF17" s="145" t="s">
        <v>176</v>
      </c>
      <c r="AG17" s="146">
        <v>797.7</v>
      </c>
      <c r="AI17" s="145" t="s">
        <v>176</v>
      </c>
      <c r="AJ17" s="146">
        <v>1403.3</v>
      </c>
    </row>
    <row r="18" spans="2:36" ht="15.75" thickBot="1">
      <c r="B18" s="127" t="s">
        <v>177</v>
      </c>
      <c r="C18" s="151">
        <v>14977.6</v>
      </c>
      <c r="E18" s="129" t="s">
        <v>177</v>
      </c>
      <c r="F18" s="147">
        <v>8503</v>
      </c>
      <c r="H18" s="129" t="s">
        <v>177</v>
      </c>
      <c r="I18" s="147">
        <v>43248.7</v>
      </c>
      <c r="K18" s="129" t="s">
        <v>177</v>
      </c>
      <c r="L18" s="147">
        <v>165.7</v>
      </c>
      <c r="N18" s="148" t="s">
        <v>177</v>
      </c>
      <c r="O18" s="147">
        <v>15740</v>
      </c>
      <c r="Q18" s="129" t="s">
        <v>177</v>
      </c>
      <c r="R18" s="147">
        <v>16161.2</v>
      </c>
      <c r="T18" s="129" t="s">
        <v>177</v>
      </c>
      <c r="U18" s="147">
        <v>5908.9</v>
      </c>
      <c r="W18" s="129" t="s">
        <v>177</v>
      </c>
      <c r="X18" s="271">
        <v>17962.400000000001</v>
      </c>
      <c r="Z18" s="129" t="s">
        <v>177</v>
      </c>
      <c r="AA18" s="147">
        <v>1811.8</v>
      </c>
      <c r="AC18" s="129" t="s">
        <v>177</v>
      </c>
      <c r="AD18" s="147">
        <v>8540.7999999999993</v>
      </c>
      <c r="AF18" s="129" t="s">
        <v>177</v>
      </c>
      <c r="AG18" s="147">
        <v>1117.2</v>
      </c>
      <c r="AI18" s="129" t="s">
        <v>177</v>
      </c>
      <c r="AJ18" s="147">
        <v>39678.9</v>
      </c>
    </row>
    <row r="19" spans="2:36" ht="15.75" thickBot="1"/>
    <row r="20" spans="2:36">
      <c r="B20" s="130" t="s">
        <v>178</v>
      </c>
      <c r="C20" s="130">
        <f>DATEDIF(C10,C8,"m")</f>
        <v>24</v>
      </c>
      <c r="E20" s="130" t="s">
        <v>178</v>
      </c>
      <c r="F20" s="130">
        <f>DATEDIF(F10,F8,"m")</f>
        <v>20</v>
      </c>
      <c r="G20" s="116"/>
      <c r="H20" s="130" t="s">
        <v>178</v>
      </c>
      <c r="I20" s="130">
        <f>DATEDIF(I10,I8,"m")</f>
        <v>24</v>
      </c>
      <c r="J20" s="116"/>
      <c r="K20" s="130" t="s">
        <v>178</v>
      </c>
      <c r="L20" s="130">
        <f>DATEDIF(L10,L8,"m")</f>
        <v>24</v>
      </c>
      <c r="M20" s="116"/>
      <c r="N20" s="130" t="s">
        <v>178</v>
      </c>
      <c r="O20" s="130">
        <f>DATEDIF(O10,O8,"m")</f>
        <v>24</v>
      </c>
      <c r="P20" s="116"/>
      <c r="Q20" s="130" t="s">
        <v>178</v>
      </c>
      <c r="R20" s="130">
        <f>DATEDIF(R10,R8,"m")</f>
        <v>24</v>
      </c>
      <c r="S20" s="116"/>
      <c r="T20" s="130" t="s">
        <v>178</v>
      </c>
      <c r="U20" s="130">
        <f>DATEDIF(U10,U8,"m")</f>
        <v>24</v>
      </c>
      <c r="V20" s="116"/>
      <c r="W20" s="130" t="s">
        <v>178</v>
      </c>
      <c r="X20" s="130">
        <f>DATEDIF(X10,X8,"m")</f>
        <v>15</v>
      </c>
      <c r="Y20" s="116"/>
      <c r="Z20" s="130" t="s">
        <v>178</v>
      </c>
      <c r="AA20" s="130">
        <f>DATEDIF(AA10,AA8,"m")</f>
        <v>24</v>
      </c>
      <c r="AB20" s="116"/>
      <c r="AC20" s="130" t="s">
        <v>178</v>
      </c>
      <c r="AD20" s="130">
        <f>DATEDIF(AD10,AD8,"m")</f>
        <v>24</v>
      </c>
      <c r="AE20" s="116"/>
      <c r="AF20" s="130" t="s">
        <v>178</v>
      </c>
      <c r="AG20" s="130">
        <f>DATEDIF(AG10,AG8,"m")</f>
        <v>24</v>
      </c>
      <c r="AI20" s="130" t="s">
        <v>178</v>
      </c>
      <c r="AJ20" s="130">
        <f>DATEDIF(AJ10,AJ8,"m")</f>
        <v>13</v>
      </c>
    </row>
    <row r="21" spans="2:36" ht="15.75" thickBot="1">
      <c r="B21" s="131" t="s">
        <v>179</v>
      </c>
      <c r="C21" s="132">
        <f>C20/12</f>
        <v>2</v>
      </c>
      <c r="E21" s="131" t="s">
        <v>179</v>
      </c>
      <c r="F21" s="133">
        <f>F20/12</f>
        <v>1.6666666666666667</v>
      </c>
      <c r="G21" s="116"/>
      <c r="H21" s="131" t="s">
        <v>179</v>
      </c>
      <c r="I21" s="131">
        <f>I20/12</f>
        <v>2</v>
      </c>
      <c r="J21" s="116"/>
      <c r="K21" s="131" t="s">
        <v>179</v>
      </c>
      <c r="L21" s="131">
        <f>L20/12</f>
        <v>2</v>
      </c>
      <c r="M21" s="116"/>
      <c r="N21" s="131" t="s">
        <v>179</v>
      </c>
      <c r="O21" s="131">
        <f>O20/12</f>
        <v>2</v>
      </c>
      <c r="P21" s="116"/>
      <c r="Q21" s="131" t="s">
        <v>179</v>
      </c>
      <c r="R21" s="131">
        <f>R20/12</f>
        <v>2</v>
      </c>
      <c r="S21" s="116"/>
      <c r="T21" s="131" t="s">
        <v>179</v>
      </c>
      <c r="U21" s="131">
        <f>U20/12</f>
        <v>2</v>
      </c>
      <c r="V21" s="116"/>
      <c r="W21" s="131" t="s">
        <v>179</v>
      </c>
      <c r="X21" s="131">
        <f>X20/12</f>
        <v>1.25</v>
      </c>
      <c r="Y21" s="116"/>
      <c r="Z21" s="131" t="s">
        <v>179</v>
      </c>
      <c r="AA21" s="131">
        <f>AA20/12</f>
        <v>2</v>
      </c>
      <c r="AB21" s="116"/>
      <c r="AC21" s="131" t="s">
        <v>179</v>
      </c>
      <c r="AD21" s="131">
        <f>AD20/12</f>
        <v>2</v>
      </c>
      <c r="AE21" s="116"/>
      <c r="AF21" s="131" t="s">
        <v>179</v>
      </c>
      <c r="AG21" s="131">
        <f>AG20/12</f>
        <v>2</v>
      </c>
      <c r="AI21" s="131" t="s">
        <v>179</v>
      </c>
      <c r="AJ21" s="133">
        <f>AJ20/12</f>
        <v>1.0833333333333333</v>
      </c>
    </row>
    <row r="23" spans="2:36">
      <c r="B23" s="134" t="s">
        <v>180</v>
      </c>
      <c r="C23" s="135">
        <f>RATE(C21,0,(C9*(-1)),C7)</f>
        <v>0.27040537594554603</v>
      </c>
      <c r="D23" s="136"/>
      <c r="E23" s="134" t="s">
        <v>180</v>
      </c>
      <c r="F23" s="135">
        <f>RATE(F21,0,(F9*(-1)),F7)</f>
        <v>0.20559749221702506</v>
      </c>
      <c r="G23" s="116"/>
      <c r="H23" s="134" t="s">
        <v>180</v>
      </c>
      <c r="I23" s="135">
        <f>RATE(I21,0,(I9*(-1)),I7)</f>
        <v>0.10175971945089478</v>
      </c>
      <c r="J23" s="116"/>
      <c r="K23" s="134" t="s">
        <v>180</v>
      </c>
      <c r="L23" s="135">
        <f>RATE(L21,0,(L9*(-1)),L7)</f>
        <v>-3.938739719483432E-2</v>
      </c>
      <c r="M23" s="116"/>
      <c r="N23" s="134" t="s">
        <v>180</v>
      </c>
      <c r="O23" s="135">
        <f>RATE(O21,0,(O9*(-1)),O7)</f>
        <v>0.11632429346113236</v>
      </c>
      <c r="P23" s="116"/>
      <c r="Q23" s="134" t="s">
        <v>180</v>
      </c>
      <c r="R23" s="135">
        <f>RATE(R21,0,(R9*(-1)),R7)</f>
        <v>0.14188886585299962</v>
      </c>
      <c r="S23" s="116"/>
      <c r="T23" s="134" t="s">
        <v>180</v>
      </c>
      <c r="U23" s="135">
        <f>RATE(U21,0,(U9*(-1)),U7)</f>
        <v>2.8719029177084594E-2</v>
      </c>
      <c r="V23" s="116"/>
      <c r="W23" s="134" t="s">
        <v>180</v>
      </c>
      <c r="X23" s="135">
        <f>RATE(X21,0,(X9*(-1)),X7)</f>
        <v>9.4291182692745848E-2</v>
      </c>
      <c r="Y23" s="116"/>
      <c r="Z23" s="134" t="s">
        <v>180</v>
      </c>
      <c r="AA23" s="135">
        <f>RATE(AA21,0,(AA9*(-1)),AA7)</f>
        <v>0.13455823674718104</v>
      </c>
      <c r="AB23" s="116"/>
      <c r="AC23" s="134" t="s">
        <v>180</v>
      </c>
      <c r="AD23" s="135">
        <f>RATE(AD21,0,(AD9*(-1)),AD7)</f>
        <v>8.9056316061567761E-2</v>
      </c>
      <c r="AE23" s="116"/>
      <c r="AF23" s="134" t="s">
        <v>180</v>
      </c>
      <c r="AG23" s="135">
        <f>RATE(AG21,0,(AG9*(-1)),AG7)</f>
        <v>4.7096106578049191E-2</v>
      </c>
      <c r="AI23" s="134" t="s">
        <v>180</v>
      </c>
      <c r="AJ23" s="135">
        <f>RATE(AJ21,0,(AJ9*(-1)),AJ7)</f>
        <v>0.10196247394926471</v>
      </c>
    </row>
    <row r="24" spans="2:36">
      <c r="B24" s="137" t="s">
        <v>181</v>
      </c>
      <c r="C24" s="138">
        <f>C11/C9</f>
        <v>0.60633449794926331</v>
      </c>
      <c r="E24" s="137" t="s">
        <v>181</v>
      </c>
      <c r="F24" s="138">
        <f>F11/F9</f>
        <v>0.58698348132347833</v>
      </c>
      <c r="G24" s="116"/>
      <c r="H24" s="137" t="s">
        <v>181</v>
      </c>
      <c r="I24" s="138">
        <f>I11/I9</f>
        <v>0.50774989558816064</v>
      </c>
      <c r="J24" s="116"/>
      <c r="K24" s="137" t="s">
        <v>181</v>
      </c>
      <c r="L24" s="138">
        <f>L11/L9</f>
        <v>0.7206073752711496</v>
      </c>
      <c r="M24" s="116"/>
      <c r="N24" s="137" t="s">
        <v>181</v>
      </c>
      <c r="O24" s="138">
        <f>O11/O9</f>
        <v>0.55838854313056285</v>
      </c>
      <c r="P24" s="116"/>
      <c r="Q24" s="137" t="s">
        <v>181</v>
      </c>
      <c r="R24" s="138">
        <f>R11/R9</f>
        <v>0.55284552845528456</v>
      </c>
      <c r="S24" s="116"/>
      <c r="T24" s="137" t="s">
        <v>181</v>
      </c>
      <c r="U24" s="138">
        <f>U11/U9</f>
        <v>0.58835718290631622</v>
      </c>
      <c r="V24" s="116"/>
      <c r="W24" s="137" t="s">
        <v>181</v>
      </c>
      <c r="X24" s="138">
        <f>X11/X9</f>
        <v>0.57791047201234869</v>
      </c>
      <c r="Y24" s="116"/>
      <c r="Z24" s="137" t="s">
        <v>181</v>
      </c>
      <c r="AA24" s="138">
        <f>AA11/AA9</f>
        <v>0.41039905383503433</v>
      </c>
      <c r="AB24" s="116"/>
      <c r="AC24" s="137" t="s">
        <v>181</v>
      </c>
      <c r="AD24" s="138">
        <f>AD11/AD9</f>
        <v>0.53151827324012757</v>
      </c>
      <c r="AE24" s="116"/>
      <c r="AF24" s="137" t="s">
        <v>181</v>
      </c>
      <c r="AG24" s="138">
        <f>AG11/AG9</f>
        <v>0.44529914529914527</v>
      </c>
      <c r="AI24" s="137" t="s">
        <v>181</v>
      </c>
      <c r="AJ24" s="138">
        <f>AJ11/AJ9</f>
        <v>0.58853629551057285</v>
      </c>
    </row>
    <row r="25" spans="2:36">
      <c r="B25" s="137" t="s">
        <v>6</v>
      </c>
      <c r="C25" s="138">
        <f>C12/C9</f>
        <v>0.13644994683275105</v>
      </c>
      <c r="E25" s="137" t="s">
        <v>6</v>
      </c>
      <c r="F25" s="138">
        <f>F12/F9</f>
        <v>3.2094845974502705E-2</v>
      </c>
      <c r="G25" s="116"/>
      <c r="H25" s="137" t="s">
        <v>6</v>
      </c>
      <c r="I25" s="138">
        <f>I12/I9</f>
        <v>0.10991151340569952</v>
      </c>
      <c r="J25" s="116"/>
      <c r="K25" s="137" t="s">
        <v>6</v>
      </c>
      <c r="L25" s="138">
        <f>L12/L9</f>
        <v>0.19783080260303687</v>
      </c>
      <c r="M25" s="116"/>
      <c r="N25" s="137" t="s">
        <v>6</v>
      </c>
      <c r="O25" s="138">
        <f>O12/O9</f>
        <v>0.18026277632782353</v>
      </c>
      <c r="P25" s="116"/>
      <c r="Q25" s="137" t="s">
        <v>6</v>
      </c>
      <c r="R25" s="138">
        <f>R12/R9</f>
        <v>0.15975609756097561</v>
      </c>
      <c r="S25" s="116"/>
      <c r="T25" s="137" t="s">
        <v>6</v>
      </c>
      <c r="U25" s="138">
        <f>U12/U9</f>
        <v>0.2880232076253626</v>
      </c>
      <c r="V25" s="116"/>
      <c r="W25" s="137" t="s">
        <v>6</v>
      </c>
      <c r="X25" s="138">
        <f>X12/X9</f>
        <v>0.24900479324071814</v>
      </c>
      <c r="Y25" s="116"/>
      <c r="Z25" s="137" t="s">
        <v>6</v>
      </c>
      <c r="AA25" s="138">
        <f>AA12/AA9</f>
        <v>0.14118007797100179</v>
      </c>
      <c r="AB25" s="116"/>
      <c r="AC25" s="137" t="s">
        <v>6</v>
      </c>
      <c r="AD25" s="138">
        <f>AD12/AD9</f>
        <v>0.12440074029478003</v>
      </c>
      <c r="AE25" s="116"/>
      <c r="AF25" s="137" t="s">
        <v>6</v>
      </c>
      <c r="AG25" s="138">
        <f>AG12/AG9</f>
        <v>8.3190883190883191E-2</v>
      </c>
      <c r="AI25" s="137" t="s">
        <v>6</v>
      </c>
      <c r="AJ25" s="138">
        <f>AJ12/AJ9</f>
        <v>0.28169166249251104</v>
      </c>
    </row>
    <row r="26" spans="2:36">
      <c r="B26" s="137" t="s">
        <v>10</v>
      </c>
      <c r="C26" s="138">
        <f>C13/C9</f>
        <v>9.1485644842776853E-2</v>
      </c>
      <c r="E26" s="137" t="s">
        <v>10</v>
      </c>
      <c r="F26" s="138">
        <f>F13/F9</f>
        <v>0.26191775385683813</v>
      </c>
      <c r="G26" s="116"/>
      <c r="H26" s="137" t="s">
        <v>10</v>
      </c>
      <c r="I26" s="138">
        <f>I13/I9</f>
        <v>6.0812577820973705E-2</v>
      </c>
      <c r="J26" s="116"/>
      <c r="K26" s="137" t="s">
        <v>10</v>
      </c>
      <c r="L26" s="138">
        <f>L13/L9</f>
        <v>0.13449023861171366</v>
      </c>
      <c r="M26" s="116"/>
      <c r="N26" s="137" t="s">
        <v>10</v>
      </c>
      <c r="O26" s="138">
        <f>O13/O9</f>
        <v>0.14811840549644203</v>
      </c>
      <c r="P26" s="116"/>
      <c r="Q26" s="137" t="s">
        <v>10</v>
      </c>
      <c r="R26" s="138">
        <f>R13/R9</f>
        <v>0.106755710414247</v>
      </c>
      <c r="S26" s="116"/>
      <c r="T26" s="137" t="s">
        <v>10</v>
      </c>
      <c r="U26" s="138">
        <f>U13/U9</f>
        <v>0.25572267862801978</v>
      </c>
      <c r="V26" s="116"/>
      <c r="W26" s="137" t="s">
        <v>10</v>
      </c>
      <c r="X26" s="138">
        <f>X13/X9</f>
        <v>0.2348078641644325</v>
      </c>
      <c r="Y26" s="116"/>
      <c r="Z26" s="137" t="s">
        <v>10</v>
      </c>
      <c r="AA26" s="138">
        <f>AA13/AA9</f>
        <v>0.11664987515878926</v>
      </c>
      <c r="AB26" s="116"/>
      <c r="AC26" s="137" t="s">
        <v>10</v>
      </c>
      <c r="AD26" s="138">
        <f>AD13/AD9</f>
        <v>0.10082056770798492</v>
      </c>
      <c r="AE26" s="116"/>
      <c r="AF26" s="137" t="s">
        <v>10</v>
      </c>
      <c r="AG26" s="138">
        <f>AG13/AG9</f>
        <v>5.6923076923076923E-2</v>
      </c>
      <c r="AI26" s="137" t="s">
        <v>10</v>
      </c>
      <c r="AJ26" s="138">
        <f>AJ13/AJ9</f>
        <v>0.24081440231002679</v>
      </c>
    </row>
    <row r="27" spans="2:36">
      <c r="B27" s="137" t="s">
        <v>182</v>
      </c>
      <c r="C27" s="138">
        <f>C14/C9</f>
        <v>0.21373234087801915</v>
      </c>
      <c r="E27" s="137" t="s">
        <v>182</v>
      </c>
      <c r="F27" s="138">
        <f>F14/F9</f>
        <v>0.20502009028225607</v>
      </c>
      <c r="G27" s="116"/>
      <c r="H27" s="137" t="s">
        <v>182</v>
      </c>
      <c r="I27" s="138">
        <f>I14/I9</f>
        <v>0.11611767507035602</v>
      </c>
      <c r="J27" s="116"/>
      <c r="K27" s="137" t="s">
        <v>182</v>
      </c>
      <c r="L27" s="138">
        <f>L14/L9</f>
        <v>0.16876355748373101</v>
      </c>
      <c r="M27" s="116"/>
      <c r="N27" s="137" t="s">
        <v>182</v>
      </c>
      <c r="O27" s="138">
        <f>O14/O9</f>
        <v>0.15418590644448907</v>
      </c>
      <c r="P27" s="116"/>
      <c r="Q27" s="137" t="s">
        <v>182</v>
      </c>
      <c r="R27" s="138">
        <f>R14/R9</f>
        <v>8.2210607820363921E-2</v>
      </c>
      <c r="S27" s="116"/>
      <c r="T27" s="137" t="s">
        <v>182</v>
      </c>
      <c r="U27" s="138">
        <f>U14/U9</f>
        <v>0.24194924550839811</v>
      </c>
      <c r="V27" s="116"/>
      <c r="W27" s="137" t="s">
        <v>182</v>
      </c>
      <c r="X27" s="138">
        <f>X14/X9</f>
        <v>0.221139003980827</v>
      </c>
      <c r="Y27" s="116"/>
      <c r="Z27" s="137" t="s">
        <v>182</v>
      </c>
      <c r="AA27" s="138">
        <f>AA14/AA9</f>
        <v>8.6775592448201849E-2</v>
      </c>
      <c r="AB27" s="116"/>
      <c r="AC27" s="137" t="s">
        <v>182</v>
      </c>
      <c r="AD27" s="138">
        <f>AD14/AD9</f>
        <v>7.6638348161526967E-2</v>
      </c>
      <c r="AE27" s="116"/>
      <c r="AF27" s="137" t="s">
        <v>182</v>
      </c>
      <c r="AG27" s="138">
        <f>AG14/AG9</f>
        <v>0.10262108262108262</v>
      </c>
      <c r="AI27" s="137" t="s">
        <v>182</v>
      </c>
      <c r="AJ27" s="138">
        <f>AJ14/AJ9</f>
        <v>0.22151507115707592</v>
      </c>
    </row>
    <row r="28" spans="2:36" ht="15.75" thickBot="1">
      <c r="B28" s="139" t="s">
        <v>183</v>
      </c>
      <c r="C28" s="140">
        <f>C15/C9</f>
        <v>0.18764241227403922</v>
      </c>
      <c r="E28" s="139" t="s">
        <v>183</v>
      </c>
      <c r="F28" s="140">
        <f>F15/F9</f>
        <v>0.1717843146981497</v>
      </c>
      <c r="G28" s="116"/>
      <c r="H28" s="139" t="s">
        <v>183</v>
      </c>
      <c r="I28" s="140">
        <f>I15/I9</f>
        <v>0.10572723333996885</v>
      </c>
      <c r="J28" s="116"/>
      <c r="K28" s="139" t="s">
        <v>183</v>
      </c>
      <c r="L28" s="140">
        <f>L15/L9</f>
        <v>0.16876355748373101</v>
      </c>
      <c r="M28" s="116"/>
      <c r="N28" s="139" t="s">
        <v>183</v>
      </c>
      <c r="O28" s="140">
        <f>O15/O9</f>
        <v>0.13741105088224143</v>
      </c>
      <c r="P28" s="116"/>
      <c r="Q28" s="139" t="s">
        <v>183</v>
      </c>
      <c r="R28" s="140">
        <f>R15/R9</f>
        <v>3.7862950058072005E-2</v>
      </c>
      <c r="S28" s="116"/>
      <c r="T28" s="139" t="s">
        <v>183</v>
      </c>
      <c r="U28" s="141">
        <f>U15/U9</f>
        <v>0.22503108164111063</v>
      </c>
      <c r="V28" s="116"/>
      <c r="W28" s="139" t="s">
        <v>183</v>
      </c>
      <c r="X28" s="141">
        <f>X15/X9</f>
        <v>0.20387521325859126</v>
      </c>
      <c r="Y28" s="116"/>
      <c r="Z28" s="139" t="s">
        <v>183</v>
      </c>
      <c r="AA28" s="141">
        <f>AA15/AA9</f>
        <v>7.5430373647553547E-2</v>
      </c>
      <c r="AB28" s="116"/>
      <c r="AC28" s="139" t="s">
        <v>183</v>
      </c>
      <c r="AD28" s="141">
        <f>AD15/AD9</f>
        <v>3.0169242089771894E-2</v>
      </c>
      <c r="AE28" s="116"/>
      <c r="AF28" s="139" t="s">
        <v>183</v>
      </c>
      <c r="AG28" s="141">
        <f>AG15/AG9</f>
        <v>9.1111111111111115E-2</v>
      </c>
      <c r="AI28" s="139" t="s">
        <v>183</v>
      </c>
      <c r="AJ28" s="141">
        <f>AJ15/AJ9</f>
        <v>0.15662413938733216</v>
      </c>
    </row>
    <row r="29" spans="2:36" ht="15.75" thickBot="1">
      <c r="Q29" s="154"/>
      <c r="AG29" s="142"/>
    </row>
    <row r="30" spans="2:36" ht="15.75" thickBot="1">
      <c r="B30" s="152" t="s">
        <v>184</v>
      </c>
      <c r="C30" s="153">
        <f>C17/(C17+C18)</f>
        <v>2.5048169556840076E-2</v>
      </c>
      <c r="E30" s="152" t="s">
        <v>184</v>
      </c>
      <c r="F30" s="153">
        <f>F17/(F17+F18)</f>
        <v>0.15308764940239045</v>
      </c>
      <c r="H30" s="152" t="s">
        <v>184</v>
      </c>
      <c r="I30" s="153">
        <f>I17/(I17+I18)</f>
        <v>0.12006177046858883</v>
      </c>
      <c r="K30" s="152" t="s">
        <v>184</v>
      </c>
      <c r="L30" s="153">
        <f>L17/(L17+L18)</f>
        <v>0.30900750625521267</v>
      </c>
      <c r="N30" s="152" t="s">
        <v>184</v>
      </c>
      <c r="O30" s="153">
        <f>O17/(O17+O18)</f>
        <v>4.520418314609468E-2</v>
      </c>
      <c r="Q30" s="152" t="s">
        <v>184</v>
      </c>
      <c r="R30" s="153">
        <f>R17/(R17+R18)</f>
        <v>8.4060665140214458E-2</v>
      </c>
      <c r="T30" s="152" t="s">
        <v>184</v>
      </c>
      <c r="U30" s="153">
        <f>U17/(U17+U18)</f>
        <v>0.2235552285091062</v>
      </c>
      <c r="W30" s="152" t="s">
        <v>184</v>
      </c>
      <c r="X30" s="153">
        <f>X17/(X17+X18)</f>
        <v>1.464126433818084E-2</v>
      </c>
      <c r="Z30" s="152" t="s">
        <v>184</v>
      </c>
      <c r="AA30" s="153">
        <f>AA17/(AA17+AA18)</f>
        <v>7.7870521172638443E-2</v>
      </c>
      <c r="AC30" s="152" t="s">
        <v>184</v>
      </c>
      <c r="AD30" s="153">
        <f>AD17/(AD17+AD18)</f>
        <v>0.18425199858642394</v>
      </c>
      <c r="AF30" s="152" t="s">
        <v>184</v>
      </c>
      <c r="AG30" s="153">
        <f>AG17/(AG17+AG18)</f>
        <v>0.41657527808240641</v>
      </c>
      <c r="AI30" s="152" t="s">
        <v>184</v>
      </c>
      <c r="AJ30" s="153">
        <f>AJ17/(AJ17+AJ18)</f>
        <v>3.4158345950314244E-2</v>
      </c>
    </row>
    <row r="34" spans="2:2">
      <c r="B34" s="106"/>
    </row>
    <row r="36" spans="2:2" ht="15" customHeight="1"/>
    <row r="61" spans="27:27">
      <c r="AA61" s="143"/>
    </row>
  </sheetData>
  <mergeCells count="16">
    <mergeCell ref="D12:D13"/>
    <mergeCell ref="B4:C4"/>
    <mergeCell ref="AC3:AD3"/>
    <mergeCell ref="AF3:AG3"/>
    <mergeCell ref="AI3:AJ3"/>
    <mergeCell ref="B5:C5"/>
    <mergeCell ref="B1:AV1"/>
    <mergeCell ref="B3:C3"/>
    <mergeCell ref="E3:F3"/>
    <mergeCell ref="H3:I3"/>
    <mergeCell ref="K3:L3"/>
    <mergeCell ref="N3:O3"/>
    <mergeCell ref="Q3:R3"/>
    <mergeCell ref="T3:U3"/>
    <mergeCell ref="W3:X3"/>
    <mergeCell ref="Z3:AA3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19db112-0d3f-4c20-a826-efbe1d2fe65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3E5DBD5E28D2428D3238D36AD630D9" ma:contentTypeVersion="10" ma:contentTypeDescription="Create a new document." ma:contentTypeScope="" ma:versionID="2759f8887f64deeff6916e0548011015">
  <xsd:schema xmlns:xsd="http://www.w3.org/2001/XMLSchema" xmlns:xs="http://www.w3.org/2001/XMLSchema" xmlns:p="http://schemas.microsoft.com/office/2006/metadata/properties" xmlns:ns3="a9954d67-d547-400a-8d6d-511ebe1029a6" xmlns:ns4="b19db112-0d3f-4c20-a826-efbe1d2fe655" targetNamespace="http://schemas.microsoft.com/office/2006/metadata/properties" ma:root="true" ma:fieldsID="c2841c76672dbdd76582cfaa1f739b41" ns3:_="" ns4:_="">
    <xsd:import namespace="a9954d67-d547-400a-8d6d-511ebe1029a6"/>
    <xsd:import namespace="b19db112-0d3f-4c20-a826-efbe1d2fe65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ObjectDetectorVersions" minOccurs="0"/>
                <xsd:element ref="ns4:_activity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954d67-d547-400a-8d6d-511ebe1029a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9db112-0d3f-4c20-a826-efbe1d2fe6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345431-6699-438E-861B-24B48873485B}"/>
</file>

<file path=customXml/itemProps2.xml><?xml version="1.0" encoding="utf-8"?>
<ds:datastoreItem xmlns:ds="http://schemas.openxmlformats.org/officeDocument/2006/customXml" ds:itemID="{8EB63690-0FA9-4091-B28D-27287CF0E8D6}"/>
</file>

<file path=customXml/itemProps3.xml><?xml version="1.0" encoding="utf-8"?>
<ds:datastoreItem xmlns:ds="http://schemas.openxmlformats.org/officeDocument/2006/customXml" ds:itemID="{E4E78817-DA79-4FFC-869F-2206A6EC7C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aheuson</dc:creator>
  <cp:keywords/>
  <dc:description/>
  <cp:lastModifiedBy>Michael Hyde</cp:lastModifiedBy>
  <cp:revision/>
  <dcterms:created xsi:type="dcterms:W3CDTF">2012-02-05T02:06:06Z</dcterms:created>
  <dcterms:modified xsi:type="dcterms:W3CDTF">2025-11-24T12:14:24Z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0x010100F43E5DBD5E28D2428D3238D36AD630D9</vt:lpwstr>
  </property>
</Properties>
</file>