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953e176b1df669c/Desktop/mjh capital/Intrinsic/"/>
    </mc:Choice>
  </mc:AlternateContent>
  <xr:revisionPtr revIDLastSave="68" documentId="13_ncr:1_{47A70A0D-D16A-AF4F-9A15-A1A0440527BC}" xr6:coauthVersionLast="47" xr6:coauthVersionMax="47" xr10:uidLastSave="{2BA49EFD-4AA1-4C44-BE76-CB09DA589CF6}"/>
  <bookViews>
    <workbookView xWindow="14320" yWindow="780" windowWidth="19880" windowHeight="19820" tabRatio="780" activeTab="3" xr2:uid="{00000000-000D-0000-FFFF-FFFF00000000}"/>
  </bookViews>
  <sheets>
    <sheet name="Historical Percentages " sheetId="1" state="hidden" r:id="rId1"/>
    <sheet name="Target Price Calculation (2)" sheetId="42" state="hidden" r:id="rId2"/>
    <sheet name="Target Price Calculation" sheetId="40" state="hidden" r:id="rId3"/>
    <sheet name="Historicals" sheetId="36" r:id="rId4"/>
    <sheet name="EBITDA Multiple Model - Bear" sheetId="21" r:id="rId5"/>
    <sheet name="EBITDA Multiple Model - Base" sheetId="43" r:id="rId6"/>
    <sheet name="H-Model Realistic" sheetId="26" r:id="rId7"/>
    <sheet name="H-Model - Conservative" sheetId="19" r:id="rId8"/>
    <sheet name="EBIT Multiple Model " sheetId="41" state="hidden" r:id="rId9"/>
    <sheet name="Comps Data" sheetId="31" r:id="rId10"/>
    <sheet name="Sort Summary" sheetId="32" r:id="rId11"/>
    <sheet name="Multiples Valuations" sheetId="33" r:id="rId12"/>
  </sheets>
  <externalReferences>
    <externalReference r:id="rId13"/>
  </externalReferences>
  <definedNames>
    <definedName name="_xlnm._FilterDatabase" localSheetId="10" hidden="1">'Sort Summary'!$C$13:$H$14</definedName>
    <definedName name="ColorCounter">"="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9" l="1"/>
  <c r="L11" i="26"/>
  <c r="L8" i="21"/>
  <c r="L8" i="43"/>
  <c r="J29" i="33" l="1"/>
  <c r="K29" i="33"/>
  <c r="L29" i="33"/>
  <c r="J30" i="33"/>
  <c r="L30" i="33" s="1"/>
  <c r="K30" i="33"/>
  <c r="J31" i="33"/>
  <c r="K31" i="33"/>
  <c r="L31" i="33"/>
  <c r="F37" i="33"/>
  <c r="F38" i="33" s="1"/>
  <c r="F42" i="33" s="1"/>
  <c r="F44" i="33" s="1"/>
  <c r="L19" i="43"/>
  <c r="C8" i="43"/>
  <c r="F9" i="43" l="1"/>
  <c r="G9" i="43" s="1"/>
  <c r="H9" i="43" s="1"/>
  <c r="I9" i="43" s="1"/>
  <c r="E9" i="43"/>
  <c r="Q19" i="43"/>
  <c r="I41" i="43"/>
  <c r="H41" i="43"/>
  <c r="G41" i="43"/>
  <c r="F41" i="43"/>
  <c r="E41" i="43"/>
  <c r="D41" i="43"/>
  <c r="C41" i="43"/>
  <c r="D39" i="43"/>
  <c r="E39" i="43" s="1"/>
  <c r="F39" i="43" s="1"/>
  <c r="G39" i="43" s="1"/>
  <c r="H39" i="43" s="1"/>
  <c r="I39" i="43" s="1"/>
  <c r="C30" i="43"/>
  <c r="P28" i="43"/>
  <c r="Q28" i="43" s="1"/>
  <c r="N28" i="43"/>
  <c r="M28" i="43"/>
  <c r="C27" i="43"/>
  <c r="C24" i="43"/>
  <c r="C17" i="43"/>
  <c r="C11" i="43"/>
  <c r="C14" i="43"/>
  <c r="L6" i="43"/>
  <c r="C5" i="43"/>
  <c r="D5" i="43" s="1"/>
  <c r="E5" i="43" s="1"/>
  <c r="L4" i="43"/>
  <c r="C12" i="43" l="1"/>
  <c r="C25" i="43" s="1"/>
  <c r="C28" i="43"/>
  <c r="C31" i="43"/>
  <c r="E30" i="43"/>
  <c r="E11" i="43"/>
  <c r="E24" i="43" s="1"/>
  <c r="E25" i="43" s="1"/>
  <c r="E27" i="43"/>
  <c r="F5" i="43"/>
  <c r="D8" i="43"/>
  <c r="C15" i="43"/>
  <c r="C18" i="43"/>
  <c r="C22" i="43"/>
  <c r="C33" i="43" s="1"/>
  <c r="C43" i="43" s="1"/>
  <c r="D30" i="43"/>
  <c r="D11" i="43"/>
  <c r="D24" i="43" s="1"/>
  <c r="D25" i="43" s="1"/>
  <c r="D27" i="43"/>
  <c r="F37" i="26"/>
  <c r="G37" i="26" s="1"/>
  <c r="H37" i="26" s="1"/>
  <c r="I37" i="26" s="1"/>
  <c r="E37" i="26"/>
  <c r="D14" i="43" l="1"/>
  <c r="D17" i="43"/>
  <c r="D22" i="43" s="1"/>
  <c r="D33" i="43" s="1"/>
  <c r="D43" i="43" s="1"/>
  <c r="D15" i="43"/>
  <c r="E8" i="43"/>
  <c r="E14" i="43" s="1"/>
  <c r="F27" i="43"/>
  <c r="F30" i="43"/>
  <c r="G5" i="43"/>
  <c r="F11" i="43"/>
  <c r="F24" i="43" s="1"/>
  <c r="F25" i="43" s="1"/>
  <c r="E17" i="43" l="1"/>
  <c r="E22" i="43" s="1"/>
  <c r="E33" i="43" s="1"/>
  <c r="E43" i="43" s="1"/>
  <c r="E15" i="43"/>
  <c r="G30" i="43"/>
  <c r="G27" i="43"/>
  <c r="H5" i="43"/>
  <c r="G11" i="43"/>
  <c r="G24" i="43" s="1"/>
  <c r="G25" i="43" s="1"/>
  <c r="F8" i="43"/>
  <c r="F14" i="43" s="1"/>
  <c r="H27" i="43" l="1"/>
  <c r="I5" i="43"/>
  <c r="H30" i="43"/>
  <c r="H11" i="43"/>
  <c r="H24" i="43" s="1"/>
  <c r="H25" i="43" s="1"/>
  <c r="F17" i="43"/>
  <c r="F22" i="43" s="1"/>
  <c r="F33" i="43" s="1"/>
  <c r="F43" i="43" s="1"/>
  <c r="F15" i="43"/>
  <c r="G8" i="43"/>
  <c r="G14" i="43" s="1"/>
  <c r="I27" i="43" l="1"/>
  <c r="I30" i="43"/>
  <c r="I11" i="43"/>
  <c r="I24" i="43" s="1"/>
  <c r="I25" i="43" s="1"/>
  <c r="G17" i="43"/>
  <c r="G22" i="43" s="1"/>
  <c r="G33" i="43" s="1"/>
  <c r="G43" i="43" s="1"/>
  <c r="G15" i="43"/>
  <c r="I8" i="43"/>
  <c r="H8" i="43"/>
  <c r="H14" i="43" s="1"/>
  <c r="I14" i="43" l="1"/>
  <c r="L5" i="43"/>
  <c r="L7" i="43" s="1"/>
  <c r="L12" i="43" s="1"/>
  <c r="H17" i="43"/>
  <c r="H22" i="43" s="1"/>
  <c r="H33" i="43" s="1"/>
  <c r="H43" i="43" s="1"/>
  <c r="H15" i="43"/>
  <c r="I15" i="43" l="1"/>
  <c r="I17" i="43"/>
  <c r="I22" i="43" s="1"/>
  <c r="I33" i="43" s="1"/>
  <c r="I43" i="43" s="1"/>
  <c r="L11" i="43" s="1"/>
  <c r="L15" i="43" s="1"/>
  <c r="L18" i="43" l="1"/>
  <c r="L22" i="43" s="1"/>
  <c r="L24" i="43" s="1"/>
  <c r="L28" i="43" s="1"/>
  <c r="L13" i="43"/>
  <c r="D27" i="42" l="1"/>
  <c r="D26" i="42"/>
  <c r="D25" i="42"/>
  <c r="D11" i="42"/>
  <c r="F11" i="42" s="1"/>
  <c r="D10" i="42"/>
  <c r="F10" i="42" s="1"/>
  <c r="H9" i="42"/>
  <c r="D6" i="42"/>
  <c r="C27" i="42" s="1"/>
  <c r="D5" i="42"/>
  <c r="C26" i="42" s="1"/>
  <c r="L6" i="21"/>
  <c r="F6" i="42" l="1"/>
  <c r="F5" i="42"/>
  <c r="E36" i="40"/>
  <c r="D36" i="40"/>
  <c r="K32" i="40"/>
  <c r="J32" i="40"/>
  <c r="K31" i="40"/>
  <c r="J31" i="40"/>
  <c r="E24" i="40"/>
  <c r="D24" i="40"/>
  <c r="C24" i="40"/>
  <c r="D30" i="40"/>
  <c r="C30" i="40"/>
  <c r="J18" i="40"/>
  <c r="K18" i="40"/>
  <c r="I18" i="40"/>
  <c r="D18" i="40"/>
  <c r="E16" i="40"/>
  <c r="D16" i="40"/>
  <c r="C16" i="40"/>
  <c r="E18" i="40" l="1"/>
  <c r="C18" i="40"/>
  <c r="N28" i="21"/>
  <c r="M28" i="21" s="1"/>
  <c r="P28" i="21" l="1"/>
  <c r="Q28" i="21" s="1"/>
  <c r="K6" i="33"/>
  <c r="I41" i="41" l="1"/>
  <c r="L8" i="41" s="1"/>
  <c r="H41" i="41"/>
  <c r="G41" i="41"/>
  <c r="F41" i="41"/>
  <c r="E41" i="41"/>
  <c r="D41" i="41"/>
  <c r="C41" i="41"/>
  <c r="D39" i="41"/>
  <c r="E39" i="41" s="1"/>
  <c r="F39" i="41" s="1"/>
  <c r="G39" i="41" s="1"/>
  <c r="H39" i="41" s="1"/>
  <c r="I39" i="41" s="1"/>
  <c r="C30" i="41"/>
  <c r="C27" i="41"/>
  <c r="C17" i="41"/>
  <c r="C11" i="41"/>
  <c r="C8" i="41"/>
  <c r="E6" i="41"/>
  <c r="F6" i="41" s="1"/>
  <c r="G6" i="41" s="1"/>
  <c r="H6" i="41" s="1"/>
  <c r="I6" i="41" s="1"/>
  <c r="C5" i="41"/>
  <c r="C31" i="41" s="1"/>
  <c r="L4" i="41"/>
  <c r="C28" i="41" l="1"/>
  <c r="C12" i="41"/>
  <c r="C25" i="41" s="1"/>
  <c r="C9" i="41"/>
  <c r="D9" i="41" s="1"/>
  <c r="E9" i="41" s="1"/>
  <c r="D5" i="41"/>
  <c r="C14" i="41"/>
  <c r="C24" i="41"/>
  <c r="D27" i="41" l="1"/>
  <c r="D30" i="41"/>
  <c r="D11" i="41"/>
  <c r="D24" i="41" s="1"/>
  <c r="E5" i="41"/>
  <c r="E8" i="41" s="1"/>
  <c r="D8" i="41"/>
  <c r="C22" i="41"/>
  <c r="C33" i="41" s="1"/>
  <c r="C43" i="41" s="1"/>
  <c r="C18" i="41"/>
  <c r="C15" i="41"/>
  <c r="F9" i="41"/>
  <c r="D14" i="41" l="1"/>
  <c r="D17" i="41" s="1"/>
  <c r="D22" i="41" s="1"/>
  <c r="D33" i="41" s="1"/>
  <c r="D43" i="41" s="1"/>
  <c r="D15" i="41"/>
  <c r="G9" i="41"/>
  <c r="E30" i="41"/>
  <c r="F5" i="41"/>
  <c r="E27" i="41"/>
  <c r="E11" i="41"/>
  <c r="E24" i="41" s="1"/>
  <c r="F11" i="41" l="1"/>
  <c r="F24" i="41" s="1"/>
  <c r="F30" i="41"/>
  <c r="G5" i="41"/>
  <c r="G8" i="41" s="1"/>
  <c r="F27" i="41"/>
  <c r="F8" i="41"/>
  <c r="H9" i="41"/>
  <c r="E14" i="41"/>
  <c r="F14" i="41" l="1"/>
  <c r="I9" i="41"/>
  <c r="E15" i="41"/>
  <c r="E17" i="41"/>
  <c r="E22" i="41" s="1"/>
  <c r="E33" i="41" s="1"/>
  <c r="E43" i="41" s="1"/>
  <c r="F15" i="41"/>
  <c r="F17" i="41"/>
  <c r="F22" i="41" s="1"/>
  <c r="F33" i="41" s="1"/>
  <c r="F43" i="41" s="1"/>
  <c r="G27" i="41"/>
  <c r="H5" i="41"/>
  <c r="G11" i="41"/>
  <c r="G24" i="41" s="1"/>
  <c r="G30" i="41"/>
  <c r="G14" i="41"/>
  <c r="G17" i="41" l="1"/>
  <c r="G22" i="41" s="1"/>
  <c r="G33" i="41" s="1"/>
  <c r="G43" i="41" s="1"/>
  <c r="G15" i="41"/>
  <c r="H27" i="41"/>
  <c r="H30" i="41"/>
  <c r="H11" i="41"/>
  <c r="H24" i="41" s="1"/>
  <c r="I5" i="41"/>
  <c r="I8" i="41" s="1"/>
  <c r="H8" i="41"/>
  <c r="H14" i="41" s="1"/>
  <c r="G6" i="21"/>
  <c r="L4" i="21"/>
  <c r="H17" i="41" l="1"/>
  <c r="H22" i="41" s="1"/>
  <c r="H33" i="41" s="1"/>
  <c r="H43" i="41" s="1"/>
  <c r="H15" i="41"/>
  <c r="I11" i="41"/>
  <c r="I24" i="41" s="1"/>
  <c r="I30" i="41"/>
  <c r="I27" i="41"/>
  <c r="I14" i="41" l="1"/>
  <c r="L5" i="41" s="1"/>
  <c r="K8" i="33"/>
  <c r="J8" i="33"/>
  <c r="C17" i="31"/>
  <c r="I15" i="41" l="1"/>
  <c r="I17" i="41"/>
  <c r="I22" i="41" s="1"/>
  <c r="I33" i="41" s="1"/>
  <c r="I43" i="41" s="1"/>
  <c r="L11" i="41" s="1"/>
  <c r="F6" i="32" l="1"/>
  <c r="H15" i="36"/>
  <c r="H19" i="36" s="1"/>
  <c r="P18" i="33"/>
  <c r="K18" i="33"/>
  <c r="K10" i="33"/>
  <c r="K7" i="33"/>
  <c r="P19" i="33"/>
  <c r="J10" i="33"/>
  <c r="J7" i="33"/>
  <c r="L19" i="21"/>
  <c r="L22" i="19"/>
  <c r="C30" i="21"/>
  <c r="C27" i="21"/>
  <c r="C17" i="21"/>
  <c r="C11" i="21"/>
  <c r="C8" i="21"/>
  <c r="C5" i="21"/>
  <c r="J6" i="33"/>
  <c r="O17" i="31"/>
  <c r="I17" i="31"/>
  <c r="F17" i="31"/>
  <c r="L22" i="26"/>
  <c r="C30" i="26"/>
  <c r="C27" i="26"/>
  <c r="C17" i="26"/>
  <c r="C11" i="26"/>
  <c r="C8" i="26"/>
  <c r="C14" i="26" s="1"/>
  <c r="C5" i="26"/>
  <c r="D5" i="26" s="1"/>
  <c r="D27" i="26" s="1"/>
  <c r="L9" i="19"/>
  <c r="G7" i="36"/>
  <c r="F7" i="36"/>
  <c r="C30" i="19"/>
  <c r="C27" i="19"/>
  <c r="C17" i="19"/>
  <c r="C11" i="19"/>
  <c r="C8" i="19"/>
  <c r="C5" i="19"/>
  <c r="D5" i="19" s="1"/>
  <c r="C12" i="19" l="1"/>
  <c r="C18" i="26"/>
  <c r="C28" i="26"/>
  <c r="C14" i="19"/>
  <c r="P20" i="33"/>
  <c r="L6" i="33"/>
  <c r="L6" i="41"/>
  <c r="L7" i="41" s="1"/>
  <c r="L12" i="41" s="1"/>
  <c r="C14" i="21"/>
  <c r="L15" i="41" l="1"/>
  <c r="L18" i="41" s="1"/>
  <c r="L22" i="41" s="1"/>
  <c r="L24" i="41" s="1"/>
  <c r="C13" i="36"/>
  <c r="D33" i="36"/>
  <c r="E33" i="36"/>
  <c r="F33" i="36"/>
  <c r="G33" i="36"/>
  <c r="H33" i="36"/>
  <c r="C33" i="36"/>
  <c r="F23" i="36"/>
  <c r="C23" i="36"/>
  <c r="F30" i="36"/>
  <c r="F27" i="36"/>
  <c r="F10" i="36"/>
  <c r="F13" i="36" a="1"/>
  <c r="F13" i="36" s="1"/>
  <c r="F24" i="36"/>
  <c r="F15" i="36"/>
  <c r="D7" i="36"/>
  <c r="H30" i="36"/>
  <c r="G30" i="36"/>
  <c r="E30" i="36"/>
  <c r="D30" i="36"/>
  <c r="C30" i="36"/>
  <c r="H27" i="36"/>
  <c r="G27" i="36"/>
  <c r="E27" i="36"/>
  <c r="D27" i="36"/>
  <c r="C27" i="36"/>
  <c r="H24" i="36"/>
  <c r="G24" i="36"/>
  <c r="E24" i="36"/>
  <c r="D24" i="36"/>
  <c r="C24" i="36"/>
  <c r="H23" i="36"/>
  <c r="G23" i="36"/>
  <c r="E23" i="36"/>
  <c r="D23" i="36"/>
  <c r="H21" i="36"/>
  <c r="G15" i="36"/>
  <c r="E15" i="36"/>
  <c r="D15" i="36"/>
  <c r="C15" i="36"/>
  <c r="H13" i="36" a="1"/>
  <c r="H13" i="36" s="1"/>
  <c r="G13" i="36" a="1"/>
  <c r="G13" i="36" s="1"/>
  <c r="D13" i="36" a="1"/>
  <c r="D13" i="36" s="1"/>
  <c r="H10" i="36"/>
  <c r="G10" i="36"/>
  <c r="E10" i="36"/>
  <c r="D10" i="36"/>
  <c r="C10" i="36"/>
  <c r="H7" i="36"/>
  <c r="C6" i="43" s="1"/>
  <c r="E7" i="36"/>
  <c r="L28" i="41" l="1"/>
  <c r="D10" i="40"/>
  <c r="C9" i="19"/>
  <c r="C9" i="21"/>
  <c r="D16" i="36"/>
  <c r="D19" i="36"/>
  <c r="G16" i="36"/>
  <c r="G19" i="36"/>
  <c r="L13" i="41"/>
  <c r="C16" i="36"/>
  <c r="C19" i="36"/>
  <c r="E16" i="36"/>
  <c r="E19" i="36"/>
  <c r="C6" i="41"/>
  <c r="C6" i="21"/>
  <c r="C6" i="26"/>
  <c r="C6" i="19"/>
  <c r="F21" i="36"/>
  <c r="F19" i="36"/>
  <c r="F10" i="40"/>
  <c r="F16" i="36"/>
  <c r="C21" i="36"/>
  <c r="D21" i="36"/>
  <c r="E21" i="36"/>
  <c r="G21" i="36"/>
  <c r="H16" i="36"/>
  <c r="N11" i="32" l="1"/>
  <c r="M11" i="32"/>
  <c r="L11" i="32"/>
  <c r="I11" i="32"/>
  <c r="H11" i="32"/>
  <c r="I5" i="32"/>
  <c r="J5" i="32"/>
  <c r="K5" i="32"/>
  <c r="L5" i="32"/>
  <c r="M5" i="32"/>
  <c r="N5" i="32"/>
  <c r="I6" i="32"/>
  <c r="J6" i="32"/>
  <c r="K6" i="32"/>
  <c r="L6" i="32"/>
  <c r="M6" i="32"/>
  <c r="N6" i="32"/>
  <c r="I7" i="32"/>
  <c r="J7" i="32"/>
  <c r="K7" i="32"/>
  <c r="L7" i="32"/>
  <c r="M7" i="32"/>
  <c r="N7" i="32"/>
  <c r="I8" i="32"/>
  <c r="J8" i="32"/>
  <c r="K8" i="32"/>
  <c r="L8" i="32"/>
  <c r="M8" i="32"/>
  <c r="N8" i="32"/>
  <c r="I9" i="32"/>
  <c r="J9" i="32"/>
  <c r="K9" i="32"/>
  <c r="L9" i="32"/>
  <c r="M9" i="32"/>
  <c r="N9" i="32"/>
  <c r="N4" i="32"/>
  <c r="L4" i="32"/>
  <c r="M4" i="32"/>
  <c r="K4" i="32"/>
  <c r="J4" i="32"/>
  <c r="I4" i="32"/>
  <c r="H5" i="32"/>
  <c r="H6" i="32"/>
  <c r="H7" i="32"/>
  <c r="H8" i="32"/>
  <c r="H9" i="32"/>
  <c r="H4" i="32"/>
  <c r="H9" i="33"/>
  <c r="J9" i="33" l="1"/>
  <c r="K9" i="33"/>
  <c r="X30" i="31"/>
  <c r="L9" i="33" l="1"/>
  <c r="K19" i="33"/>
  <c r="K20" i="33" s="1"/>
  <c r="D5" i="40" s="1"/>
  <c r="F11" i="32"/>
  <c r="F9" i="32"/>
  <c r="F8" i="32"/>
  <c r="F7" i="32"/>
  <c r="F5" i="32"/>
  <c r="F4" i="32"/>
  <c r="N3" i="32"/>
  <c r="M3" i="32"/>
  <c r="L3" i="32"/>
  <c r="K3" i="32"/>
  <c r="J3" i="32"/>
  <c r="I3" i="32"/>
  <c r="H3" i="32"/>
  <c r="G3" i="32"/>
  <c r="F3" i="32"/>
  <c r="E3" i="32"/>
  <c r="D3" i="32"/>
  <c r="F5" i="40" l="1"/>
  <c r="L8" i="33"/>
  <c r="L10" i="33"/>
  <c r="L7" i="33"/>
  <c r="D6" i="40"/>
  <c r="C17" i="32"/>
  <c r="G14" i="32"/>
  <c r="C29" i="32"/>
  <c r="K14" i="32"/>
  <c r="J20" i="32"/>
  <c r="C26" i="32"/>
  <c r="F29" i="32"/>
  <c r="D20" i="32"/>
  <c r="H20" i="32"/>
  <c r="E26" i="32"/>
  <c r="I14" i="32"/>
  <c r="D29" i="32"/>
  <c r="G17" i="32"/>
  <c r="L14" i="32"/>
  <c r="D26" i="32"/>
  <c r="L26" i="32"/>
  <c r="F14" i="32"/>
  <c r="E20" i="32"/>
  <c r="G23" i="32"/>
  <c r="K17" i="32"/>
  <c r="D14" i="32"/>
  <c r="I20" i="32"/>
  <c r="E14" i="32"/>
  <c r="G20" i="32"/>
  <c r="F26" i="32"/>
  <c r="N17" i="32"/>
  <c r="F20" i="32"/>
  <c r="I23" i="32"/>
  <c r="M26" i="32"/>
  <c r="J29" i="32"/>
  <c r="F17" i="32"/>
  <c r="F23" i="32"/>
  <c r="N26" i="32"/>
  <c r="N29" i="32"/>
  <c r="I17" i="32"/>
  <c r="K23" i="32"/>
  <c r="H23" i="32"/>
  <c r="E29" i="32"/>
  <c r="D17" i="32"/>
  <c r="C23" i="32"/>
  <c r="M29" i="32"/>
  <c r="C14" i="32"/>
  <c r="L17" i="32"/>
  <c r="L20" i="32"/>
  <c r="L23" i="32"/>
  <c r="I26" i="32"/>
  <c r="I29" i="32"/>
  <c r="M23" i="32"/>
  <c r="F6" i="40" l="1"/>
  <c r="AJ30" i="31"/>
  <c r="AG30" i="31"/>
  <c r="AD30" i="31"/>
  <c r="AA30" i="31"/>
  <c r="U30" i="31"/>
  <c r="R30" i="31"/>
  <c r="L30" i="31"/>
  <c r="O30" i="31"/>
  <c r="G11" i="32" s="1"/>
  <c r="I30" i="31"/>
  <c r="E11" i="32" s="1"/>
  <c r="F30" i="31"/>
  <c r="D11" i="32" s="1"/>
  <c r="C30" i="31"/>
  <c r="C11" i="32" s="1"/>
  <c r="AJ28" i="31"/>
  <c r="AG28" i="31"/>
  <c r="AD28" i="31"/>
  <c r="AA28" i="31"/>
  <c r="X28" i="31"/>
  <c r="U28" i="31"/>
  <c r="R28" i="31"/>
  <c r="O28" i="31"/>
  <c r="G9" i="32" s="1"/>
  <c r="H29" i="32" s="1"/>
  <c r="L28" i="31"/>
  <c r="I28" i="31"/>
  <c r="E9" i="32" s="1"/>
  <c r="G29" i="32" s="1"/>
  <c r="F28" i="31"/>
  <c r="D9" i="32" s="1"/>
  <c r="K29" i="32" s="1"/>
  <c r="C28" i="31"/>
  <c r="C9" i="32" s="1"/>
  <c r="L29" i="32" s="1"/>
  <c r="AJ27" i="31"/>
  <c r="AG27" i="31"/>
  <c r="AD27" i="31"/>
  <c r="AA27" i="31"/>
  <c r="X27" i="31"/>
  <c r="U27" i="31"/>
  <c r="R27" i="31"/>
  <c r="O27" i="31"/>
  <c r="G8" i="32" s="1"/>
  <c r="H26" i="32" s="1"/>
  <c r="L27" i="31"/>
  <c r="I27" i="31"/>
  <c r="E8" i="32" s="1"/>
  <c r="G26" i="32" s="1"/>
  <c r="F27" i="31"/>
  <c r="D8" i="32" s="1"/>
  <c r="J26" i="32" s="1"/>
  <c r="C27" i="31"/>
  <c r="C8" i="32" s="1"/>
  <c r="K26" i="32" s="1"/>
  <c r="AJ26" i="31"/>
  <c r="AG26" i="31"/>
  <c r="AD26" i="31"/>
  <c r="AA26" i="31"/>
  <c r="X26" i="31"/>
  <c r="U26" i="31"/>
  <c r="R26" i="31"/>
  <c r="O26" i="31"/>
  <c r="G7" i="32" s="1"/>
  <c r="J23" i="32" s="1"/>
  <c r="L26" i="31"/>
  <c r="I26" i="31"/>
  <c r="E7" i="32" s="1"/>
  <c r="D23" i="32" s="1"/>
  <c r="F26" i="31"/>
  <c r="D7" i="32" s="1"/>
  <c r="N23" i="32" s="1"/>
  <c r="C26" i="31"/>
  <c r="C7" i="32" s="1"/>
  <c r="E23" i="32" s="1"/>
  <c r="AJ25" i="31"/>
  <c r="AG25" i="31"/>
  <c r="AD25" i="31"/>
  <c r="AA25" i="31"/>
  <c r="X25" i="31"/>
  <c r="U25" i="31"/>
  <c r="R25" i="31"/>
  <c r="O25" i="31"/>
  <c r="G6" i="32" s="1"/>
  <c r="N20" i="32" s="1"/>
  <c r="L25" i="31"/>
  <c r="I25" i="31"/>
  <c r="E6" i="32" s="1"/>
  <c r="C20" i="32" s="1"/>
  <c r="F25" i="31"/>
  <c r="D6" i="32" s="1"/>
  <c r="M20" i="32" s="1"/>
  <c r="C25" i="31"/>
  <c r="C6" i="32" s="1"/>
  <c r="K20" i="32" s="1"/>
  <c r="AJ24" i="31"/>
  <c r="AG24" i="31"/>
  <c r="AD24" i="31"/>
  <c r="AA24" i="31"/>
  <c r="X24" i="31"/>
  <c r="U24" i="31"/>
  <c r="R24" i="31"/>
  <c r="O24" i="31"/>
  <c r="G5" i="32" s="1"/>
  <c r="H17" i="32" s="1"/>
  <c r="L24" i="31"/>
  <c r="I24" i="31"/>
  <c r="E5" i="32" s="1"/>
  <c r="E17" i="32" s="1"/>
  <c r="F24" i="31"/>
  <c r="D5" i="32" s="1"/>
  <c r="J17" i="32" s="1"/>
  <c r="C24" i="31"/>
  <c r="C5" i="32" s="1"/>
  <c r="M17" i="32" s="1"/>
  <c r="AJ20" i="31"/>
  <c r="AJ21" i="31" s="1"/>
  <c r="AJ23" i="31" s="1"/>
  <c r="AG20" i="31"/>
  <c r="AG21" i="31" s="1"/>
  <c r="AG23" i="31" s="1"/>
  <c r="AD20" i="31"/>
  <c r="AD21" i="31" s="1"/>
  <c r="AD23" i="31" s="1"/>
  <c r="AA20" i="31"/>
  <c r="AA21" i="31" s="1"/>
  <c r="AA23" i="31" s="1"/>
  <c r="X20" i="31"/>
  <c r="X21" i="31" s="1"/>
  <c r="X23" i="31" s="1"/>
  <c r="U20" i="31"/>
  <c r="U21" i="31" s="1"/>
  <c r="U23" i="31" s="1"/>
  <c r="R20" i="31"/>
  <c r="R21" i="31" s="1"/>
  <c r="R23" i="31" s="1"/>
  <c r="O20" i="31"/>
  <c r="O21" i="31" s="1"/>
  <c r="O23" i="31" s="1"/>
  <c r="G4" i="32" s="1"/>
  <c r="J14" i="32" s="1"/>
  <c r="L20" i="31"/>
  <c r="L21" i="31" s="1"/>
  <c r="L23" i="31" s="1"/>
  <c r="I20" i="31"/>
  <c r="I21" i="31" s="1"/>
  <c r="I23" i="31" s="1"/>
  <c r="E4" i="32" s="1"/>
  <c r="H14" i="32" s="1"/>
  <c r="F20" i="31"/>
  <c r="F21" i="31" s="1"/>
  <c r="F23" i="31" s="1"/>
  <c r="D4" i="32" s="1"/>
  <c r="M14" i="32" s="1"/>
  <c r="C20" i="31"/>
  <c r="C21" i="31" s="1"/>
  <c r="C23" i="31" s="1"/>
  <c r="C4" i="32" s="1"/>
  <c r="N14" i="32" s="1"/>
  <c r="H3" i="31"/>
  <c r="K3" i="31" s="1"/>
  <c r="N3" i="31" s="1"/>
  <c r="Q3" i="31" s="1"/>
  <c r="T3" i="31" s="1"/>
  <c r="W3" i="31" s="1"/>
  <c r="Z3" i="31" s="1"/>
  <c r="AC3" i="31" s="1"/>
  <c r="AF3" i="31" s="1"/>
  <c r="AI3" i="31" s="1"/>
  <c r="K11" i="32" l="1"/>
  <c r="J11" i="32"/>
  <c r="L4" i="26" l="1"/>
  <c r="S8" i="26" l="1"/>
  <c r="L9" i="26"/>
  <c r="E6" i="26"/>
  <c r="F6" i="26" s="1"/>
  <c r="G6" i="26" s="1"/>
  <c r="H6" i="26" s="1"/>
  <c r="I6" i="26" s="1"/>
  <c r="I41" i="26"/>
  <c r="H41" i="26"/>
  <c r="G41" i="26"/>
  <c r="F41" i="26"/>
  <c r="E41" i="26"/>
  <c r="D41" i="26"/>
  <c r="C41" i="26"/>
  <c r="D39" i="26"/>
  <c r="E39" i="26" s="1"/>
  <c r="F39" i="26" s="1"/>
  <c r="G39" i="26" s="1"/>
  <c r="H39" i="26" s="1"/>
  <c r="I39" i="26" s="1"/>
  <c r="C24" i="26"/>
  <c r="S7" i="26"/>
  <c r="D11" i="26"/>
  <c r="C31" i="26" l="1"/>
  <c r="C12" i="26"/>
  <c r="C25" i="26" s="1"/>
  <c r="C9" i="26"/>
  <c r="E5" i="26"/>
  <c r="D30" i="26"/>
  <c r="D24" i="26"/>
  <c r="D25" i="26" s="1"/>
  <c r="D8" i="26" l="1"/>
  <c r="D14" i="26" s="1"/>
  <c r="E11" i="26"/>
  <c r="E24" i="26" s="1"/>
  <c r="E25" i="26" s="1"/>
  <c r="E30" i="26"/>
  <c r="E27" i="26"/>
  <c r="F5" i="26"/>
  <c r="E8" i="26" l="1"/>
  <c r="E14" i="26" s="1"/>
  <c r="E17" i="26" s="1"/>
  <c r="E22" i="26" s="1"/>
  <c r="E33" i="26" s="1"/>
  <c r="E43" i="26" s="1"/>
  <c r="F8" i="26"/>
  <c r="D15" i="26"/>
  <c r="D17" i="26"/>
  <c r="D22" i="26" s="1"/>
  <c r="D33" i="26" s="1"/>
  <c r="D43" i="26" s="1"/>
  <c r="F30" i="26"/>
  <c r="F27" i="26"/>
  <c r="F11" i="26"/>
  <c r="F24" i="26" s="1"/>
  <c r="F25" i="26" s="1"/>
  <c r="G5" i="26"/>
  <c r="E15" i="26" l="1"/>
  <c r="G8" i="26"/>
  <c r="H5" i="26"/>
  <c r="G11" i="26"/>
  <c r="G24" i="26" s="1"/>
  <c r="G25" i="26" s="1"/>
  <c r="G27" i="26"/>
  <c r="G30" i="26"/>
  <c r="F14" i="26"/>
  <c r="G14" i="26" l="1"/>
  <c r="F15" i="26"/>
  <c r="F17" i="26"/>
  <c r="F22" i="26" s="1"/>
  <c r="F33" i="26" s="1"/>
  <c r="F43" i="26" s="1"/>
  <c r="I5" i="26"/>
  <c r="H11" i="26"/>
  <c r="H24" i="26" s="1"/>
  <c r="H25" i="26" s="1"/>
  <c r="H27" i="26"/>
  <c r="H30" i="26"/>
  <c r="H8" i="26"/>
  <c r="G17" i="26"/>
  <c r="G22" i="26" s="1"/>
  <c r="G33" i="26" s="1"/>
  <c r="G43" i="26" s="1"/>
  <c r="G15" i="26"/>
  <c r="I8" i="26" l="1"/>
  <c r="H14" i="26"/>
  <c r="H15" i="26" s="1"/>
  <c r="I11" i="26"/>
  <c r="I24" i="26" s="1"/>
  <c r="I25" i="26" s="1"/>
  <c r="I27" i="26"/>
  <c r="I30" i="26"/>
  <c r="H17" i="26" l="1"/>
  <c r="H22" i="26" s="1"/>
  <c r="H33" i="26" s="1"/>
  <c r="H43" i="26" s="1"/>
  <c r="I14" i="26"/>
  <c r="I15" i="26" l="1"/>
  <c r="I17" i="26"/>
  <c r="I22" i="26" s="1"/>
  <c r="I33" i="26" s="1"/>
  <c r="I43" i="26" l="1"/>
  <c r="L14" i="26" s="1"/>
  <c r="L5" i="26"/>
  <c r="L10" i="26" s="1"/>
  <c r="L15" i="26" s="1"/>
  <c r="L18" i="26" l="1"/>
  <c r="L21" i="26" s="1"/>
  <c r="L25" i="26" s="1"/>
  <c r="L27" i="26" s="1"/>
  <c r="L32" i="26" s="1"/>
  <c r="D9" i="40" l="1"/>
  <c r="F9" i="40" s="1"/>
  <c r="L16" i="26"/>
  <c r="D12" i="40" l="1"/>
  <c r="C24" i="21"/>
  <c r="C28" i="21"/>
  <c r="C41" i="21"/>
  <c r="D41" i="21"/>
  <c r="D39" i="21"/>
  <c r="E39" i="21" s="1"/>
  <c r="F39" i="21" s="1"/>
  <c r="G39" i="21" s="1"/>
  <c r="H39" i="21" s="1"/>
  <c r="I39" i="21" s="1"/>
  <c r="F12" i="40" l="1"/>
  <c r="C31" i="21"/>
  <c r="D5" i="21"/>
  <c r="E5" i="21" s="1"/>
  <c r="C12" i="21"/>
  <c r="C25" i="21" s="1"/>
  <c r="I41" i="21"/>
  <c r="H41" i="21"/>
  <c r="G41" i="21"/>
  <c r="F41" i="21"/>
  <c r="E41" i="21"/>
  <c r="E27" i="21" l="1"/>
  <c r="E30" i="21"/>
  <c r="F5" i="21"/>
  <c r="F27" i="21" s="1"/>
  <c r="D11" i="21"/>
  <c r="D24" i="21" s="1"/>
  <c r="D25" i="21" s="1"/>
  <c r="E11" i="21"/>
  <c r="E24" i="21" s="1"/>
  <c r="E25" i="21" s="1"/>
  <c r="D27" i="21"/>
  <c r="D30" i="21"/>
  <c r="G5" i="21"/>
  <c r="F11" i="21" l="1"/>
  <c r="F24" i="21" s="1"/>
  <c r="F25" i="21" s="1"/>
  <c r="F30" i="21"/>
  <c r="G11" i="21"/>
  <c r="G24" i="21" s="1"/>
  <c r="G25" i="21" s="1"/>
  <c r="H5" i="21"/>
  <c r="G30" i="21"/>
  <c r="G27" i="21"/>
  <c r="H11" i="21" l="1"/>
  <c r="H24" i="21" s="1"/>
  <c r="H25" i="21" s="1"/>
  <c r="H30" i="21"/>
  <c r="I5" i="21"/>
  <c r="H27" i="21"/>
  <c r="I11" i="21" l="1"/>
  <c r="I24" i="21" s="1"/>
  <c r="I25" i="21" s="1"/>
  <c r="I30" i="21"/>
  <c r="I27" i="21"/>
  <c r="L4" i="19" l="1"/>
  <c r="C28" i="19"/>
  <c r="C25" i="19"/>
  <c r="D9" i="19"/>
  <c r="I41" i="19"/>
  <c r="H41" i="19"/>
  <c r="G41" i="19"/>
  <c r="F41" i="19"/>
  <c r="E41" i="19"/>
  <c r="D41" i="19"/>
  <c r="C41" i="19"/>
  <c r="D39" i="19"/>
  <c r="E39" i="19" s="1"/>
  <c r="F39" i="19" s="1"/>
  <c r="C24" i="19"/>
  <c r="S8" i="19"/>
  <c r="S7" i="19"/>
  <c r="G39" i="19" l="1"/>
  <c r="H39" i="19" s="1"/>
  <c r="I39" i="19" s="1"/>
  <c r="C31" i="19"/>
  <c r="D30" i="19"/>
  <c r="D27" i="19"/>
  <c r="E5" i="19"/>
  <c r="D11" i="19"/>
  <c r="D24" i="19" s="1"/>
  <c r="D25" i="19" s="1"/>
  <c r="D8" i="19"/>
  <c r="E9" i="19"/>
  <c r="D14" i="19" l="1"/>
  <c r="D15" i="19" s="1"/>
  <c r="F9" i="19"/>
  <c r="E8" i="19"/>
  <c r="E30" i="19"/>
  <c r="F5" i="19"/>
  <c r="E11" i="19"/>
  <c r="E24" i="19" s="1"/>
  <c r="E25" i="19" s="1"/>
  <c r="E27" i="19"/>
  <c r="D17" i="19" l="1"/>
  <c r="D22" i="19" s="1"/>
  <c r="D33" i="19" s="1"/>
  <c r="D43" i="19" s="1"/>
  <c r="F30" i="19"/>
  <c r="G5" i="19"/>
  <c r="F11" i="19"/>
  <c r="F24" i="19" s="1"/>
  <c r="F25" i="19" s="1"/>
  <c r="F27" i="19"/>
  <c r="E14" i="19"/>
  <c r="G9" i="19"/>
  <c r="F8" i="19"/>
  <c r="F14" i="19" l="1"/>
  <c r="G30" i="19"/>
  <c r="H5" i="19"/>
  <c r="I5" i="19" s="1"/>
  <c r="G11" i="19"/>
  <c r="G24" i="19" s="1"/>
  <c r="G25" i="19" s="1"/>
  <c r="G27" i="19"/>
  <c r="F15" i="19"/>
  <c r="F17" i="19"/>
  <c r="F22" i="19" s="1"/>
  <c r="F33" i="19" s="1"/>
  <c r="F43" i="19" s="1"/>
  <c r="H9" i="19"/>
  <c r="G8" i="19"/>
  <c r="E15" i="19"/>
  <c r="E17" i="19"/>
  <c r="E22" i="19" s="1"/>
  <c r="E33" i="19" s="1"/>
  <c r="E43" i="19" s="1"/>
  <c r="G14" i="19" l="1"/>
  <c r="G15" i="19"/>
  <c r="G17" i="19"/>
  <c r="G22" i="19" s="1"/>
  <c r="G33" i="19" s="1"/>
  <c r="G43" i="19" s="1"/>
  <c r="I9" i="19"/>
  <c r="H8" i="19"/>
  <c r="H30" i="19"/>
  <c r="H11" i="19"/>
  <c r="H24" i="19" s="1"/>
  <c r="H25" i="19" s="1"/>
  <c r="H27" i="19"/>
  <c r="I30" i="19" l="1"/>
  <c r="I11" i="19"/>
  <c r="I24" i="19" s="1"/>
  <c r="I25" i="19" s="1"/>
  <c r="I27" i="19"/>
  <c r="H14" i="19"/>
  <c r="I8" i="19"/>
  <c r="I14" i="19" l="1"/>
  <c r="I15" i="19" s="1"/>
  <c r="H15" i="19"/>
  <c r="H17" i="19"/>
  <c r="H22" i="19" s="1"/>
  <c r="H33" i="19" s="1"/>
  <c r="H43" i="19" s="1"/>
  <c r="I17" i="19" l="1"/>
  <c r="I22" i="19" s="1"/>
  <c r="I33" i="19" s="1"/>
  <c r="L5" i="19" s="1"/>
  <c r="L10" i="19" s="1"/>
  <c r="I43" i="19"/>
  <c r="L14" i="19" s="1"/>
  <c r="L15" i="19"/>
  <c r="L18" i="19" l="1"/>
  <c r="L21" i="19" s="1"/>
  <c r="L25" i="19" s="1"/>
  <c r="L27" i="19" s="1"/>
  <c r="D8" i="40" s="1"/>
  <c r="F8" i="40" s="1"/>
  <c r="L16" i="19" l="1"/>
  <c r="L32" i="19"/>
  <c r="D8" i="21" l="1"/>
  <c r="D14" i="21" s="1"/>
  <c r="C23" i="1"/>
  <c r="D17" i="21" l="1"/>
  <c r="D22" i="21" s="1"/>
  <c r="D33" i="21" s="1"/>
  <c r="D43" i="21" s="1"/>
  <c r="D15" i="21"/>
  <c r="E8" i="21"/>
  <c r="E14" i="21" s="1"/>
  <c r="H26" i="1"/>
  <c r="G19" i="1"/>
  <c r="F19" i="1"/>
  <c r="E19" i="1"/>
  <c r="H4" i="1"/>
  <c r="D30" i="1"/>
  <c r="E11" i="1"/>
  <c r="E17" i="1" s="1"/>
  <c r="D11" i="1"/>
  <c r="E30" i="1"/>
  <c r="F30" i="1"/>
  <c r="G30" i="1"/>
  <c r="E26" i="1"/>
  <c r="F26" i="1"/>
  <c r="G26" i="1"/>
  <c r="E23" i="1"/>
  <c r="F23" i="1"/>
  <c r="G23" i="1"/>
  <c r="E20" i="1"/>
  <c r="F20" i="1"/>
  <c r="G20" i="1"/>
  <c r="F11" i="1"/>
  <c r="F15" i="1" s="1"/>
  <c r="G11" i="1"/>
  <c r="G15" i="1" s="1"/>
  <c r="E7" i="1"/>
  <c r="F7" i="1"/>
  <c r="G7" i="1"/>
  <c r="E4" i="1"/>
  <c r="F4" i="1"/>
  <c r="G4" i="1"/>
  <c r="H30" i="1"/>
  <c r="C30" i="1"/>
  <c r="C22" i="19" l="1"/>
  <c r="C33" i="19" s="1"/>
  <c r="C43" i="19" s="1"/>
  <c r="C15" i="19"/>
  <c r="C18" i="19"/>
  <c r="C22" i="26"/>
  <c r="C33" i="26" s="1"/>
  <c r="C43" i="26" s="1"/>
  <c r="C15" i="26"/>
  <c r="C18" i="21"/>
  <c r="C22" i="21"/>
  <c r="C33" i="21" s="1"/>
  <c r="C43" i="21" s="1"/>
  <c r="C15" i="21"/>
  <c r="F8" i="21"/>
  <c r="F14" i="21" s="1"/>
  <c r="E17" i="21"/>
  <c r="E22" i="21" s="1"/>
  <c r="E33" i="21" s="1"/>
  <c r="E43" i="21" s="1"/>
  <c r="E15" i="21"/>
  <c r="E12" i="1"/>
  <c r="E15" i="1"/>
  <c r="G17" i="1"/>
  <c r="F17" i="1"/>
  <c r="G12" i="1"/>
  <c r="F12" i="1"/>
  <c r="F15" i="21" l="1"/>
  <c r="F17" i="21"/>
  <c r="F22" i="21" s="1"/>
  <c r="F33" i="21" s="1"/>
  <c r="F43" i="21" s="1"/>
  <c r="G8" i="21"/>
  <c r="G14" i="21" s="1"/>
  <c r="D26" i="1"/>
  <c r="C26" i="1"/>
  <c r="K26" i="1" s="1"/>
  <c r="H23" i="1"/>
  <c r="D23" i="1"/>
  <c r="H20" i="1"/>
  <c r="D20" i="1"/>
  <c r="H19" i="1"/>
  <c r="D19" i="1"/>
  <c r="C20" i="1"/>
  <c r="C19" i="1"/>
  <c r="H11" i="1"/>
  <c r="D17" i="1"/>
  <c r="C11" i="1"/>
  <c r="C15" i="1" s="1"/>
  <c r="H7" i="1"/>
  <c r="D7" i="1"/>
  <c r="C7" i="1"/>
  <c r="D4" i="1"/>
  <c r="I8" i="21" l="1"/>
  <c r="L5" i="21" s="1"/>
  <c r="L7" i="21" s="1"/>
  <c r="H8" i="21"/>
  <c r="H14" i="21" s="1"/>
  <c r="G15" i="21"/>
  <c r="G17" i="21"/>
  <c r="G22" i="21" s="1"/>
  <c r="G33" i="21" s="1"/>
  <c r="G43" i="21" s="1"/>
  <c r="D15" i="1"/>
  <c r="D12" i="1"/>
  <c r="C12" i="1"/>
  <c r="C17" i="1"/>
  <c r="H12" i="1"/>
  <c r="H15" i="1"/>
  <c r="H17" i="1"/>
  <c r="H15" i="21" l="1"/>
  <c r="H17" i="21"/>
  <c r="H22" i="21" s="1"/>
  <c r="H33" i="21" s="1"/>
  <c r="H43" i="21" s="1"/>
  <c r="L12" i="21"/>
  <c r="I14" i="21"/>
  <c r="I15" i="21" l="1"/>
  <c r="I17" i="21"/>
  <c r="I22" i="21" s="1"/>
  <c r="I33" i="21" s="1"/>
  <c r="I43" i="21" s="1"/>
  <c r="L11" i="21" s="1"/>
  <c r="L15" i="21" l="1"/>
  <c r="L18" i="21" l="1"/>
  <c r="L22" i="21" s="1"/>
  <c r="L24" i="21" s="1"/>
  <c r="L13" i="21"/>
  <c r="D11" i="40" l="1"/>
  <c r="F11" i="40" s="1"/>
  <c r="L28" i="21"/>
  <c r="D9" i="42" l="1"/>
  <c r="C25" i="42" l="1"/>
  <c r="F9" i="42"/>
  <c r="D12" i="42"/>
  <c r="D28" i="42" l="1"/>
  <c r="F12" i="42"/>
  <c r="D8" i="42" l="1"/>
  <c r="F8" i="4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 Evenson</author>
  </authors>
  <commentList>
    <comment ref="C6" authorId="0" shapeId="0" xr:uid="{5E5F0536-889E-4079-8A4F-FB9F4C6EF4D5}">
      <text>
        <r>
          <rPr>
            <b/>
            <sz val="9"/>
            <color indexed="81"/>
            <rFont val="Tahoma"/>
            <family val="2"/>
          </rPr>
          <t>Sofia Evenson:</t>
        </r>
        <r>
          <rPr>
            <sz val="9"/>
            <color indexed="81"/>
            <rFont val="Tahoma"/>
            <family val="2"/>
          </rPr>
          <t xml:space="preserve">
Bloomberg defaults to Swiss Francs and some other comps are non USD default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<sst xmlns="http://schemas.openxmlformats.org/spreadsheetml/2006/main" count="893" uniqueCount="209">
  <si>
    <t>Dates</t>
  </si>
  <si>
    <t>Sales</t>
  </si>
  <si>
    <t xml:space="preserve">*I used revenue from the Income Statement and the 2024 estimates for 9/30/2024 </t>
  </si>
  <si>
    <t>% Sales Growth</t>
  </si>
  <si>
    <t>EBITDA</t>
  </si>
  <si>
    <t>*CF statement</t>
  </si>
  <si>
    <t>EBITDA Margin</t>
  </si>
  <si>
    <t>Depreciation and Amortization</t>
  </si>
  <si>
    <t>*Top of the CF statement (perating activities section)</t>
  </si>
  <si>
    <t>EBIT</t>
  </si>
  <si>
    <t>EBIT Margin</t>
  </si>
  <si>
    <t>Taxes</t>
  </si>
  <si>
    <t>*I used " - Income tax expense (benefit) from the Income Statement</t>
  </si>
  <si>
    <t>Tax Rate</t>
  </si>
  <si>
    <t xml:space="preserve">*Might need to use the Cash paid for taxes from the CF statement </t>
  </si>
  <si>
    <t>EBIAT</t>
  </si>
  <si>
    <t xml:space="preserve"> Depreciation and Amortization</t>
  </si>
  <si>
    <t>D&amp;A/Sales</t>
  </si>
  <si>
    <t xml:space="preserve"> Capex</t>
  </si>
  <si>
    <t>Capex/Sales</t>
  </si>
  <si>
    <t>Less  Increase (or Plus Decrease) in NWC</t>
  </si>
  <si>
    <t>*I used - Change in Non -Cash Working Capital (under Cash from operating activities) in the CF statement</t>
  </si>
  <si>
    <t>NWC/Sales</t>
  </si>
  <si>
    <t>Average</t>
  </si>
  <si>
    <t>Stock-Based Compensation (if "material")</t>
  </si>
  <si>
    <t>*I got this from the Cash from Operating Activities sections of the Cashflow Statement</t>
  </si>
  <si>
    <t>SBC/Sales</t>
  </si>
  <si>
    <t>Target Price Calculation</t>
  </si>
  <si>
    <t>ONON Target Price</t>
  </si>
  <si>
    <t>Current Price</t>
  </si>
  <si>
    <t>Comps</t>
  </si>
  <si>
    <t>Target Price</t>
  </si>
  <si>
    <t>% Weight</t>
  </si>
  <si>
    <t>% Upside</t>
  </si>
  <si>
    <t>Direct</t>
  </si>
  <si>
    <t>Indirect</t>
  </si>
  <si>
    <t>DCF</t>
  </si>
  <si>
    <t>H - conservative</t>
  </si>
  <si>
    <t>H- realistic</t>
  </si>
  <si>
    <t>EBIT Multiple</t>
  </si>
  <si>
    <t>EBITDA Multiple</t>
  </si>
  <si>
    <t>Final</t>
  </si>
  <si>
    <t xml:space="preserve">ONON </t>
  </si>
  <si>
    <t>R&amp;D</t>
  </si>
  <si>
    <t>Net Sales</t>
  </si>
  <si>
    <t>R&amp;D / Sales %</t>
  </si>
  <si>
    <t>DECK</t>
  </si>
  <si>
    <t>NIKE</t>
  </si>
  <si>
    <t>Capitalized research and development expenditures</t>
  </si>
  <si>
    <t>LULU</t>
  </si>
  <si>
    <t>Research &amp; Experimental Expenditures</t>
  </si>
  <si>
    <t>pg 72 10K</t>
  </si>
  <si>
    <t>UGG</t>
  </si>
  <si>
    <t>Net Revenue</t>
  </si>
  <si>
    <t>Hoka</t>
  </si>
  <si>
    <t>Total</t>
  </si>
  <si>
    <t>% HOKA</t>
  </si>
  <si>
    <t>ASCCY (¥)</t>
  </si>
  <si>
    <t>%UGG</t>
  </si>
  <si>
    <t>Historical Data</t>
  </si>
  <si>
    <t>Date</t>
  </si>
  <si>
    <t>Current LTM</t>
  </si>
  <si>
    <t xml:space="preserve">Hictorical </t>
  </si>
  <si>
    <t xml:space="preserve"> </t>
  </si>
  <si>
    <t>Net Capex</t>
  </si>
  <si>
    <t>Less Increase (Plus Decrease) In NWC</t>
  </si>
  <si>
    <t>Stock Based Compensation ("If Mateial")</t>
  </si>
  <si>
    <t>Discounted Cash Flow Model - H-Model</t>
  </si>
  <si>
    <t>Operating Scenario</t>
  </si>
  <si>
    <t>H-Model</t>
  </si>
  <si>
    <t>LT Growth Rate</t>
  </si>
  <si>
    <t>Current</t>
  </si>
  <si>
    <t>WACC</t>
  </si>
  <si>
    <t>Real GDP Growth</t>
  </si>
  <si>
    <t>Terminal Year UFCF</t>
  </si>
  <si>
    <t>10 yrs Breakeven Inflation</t>
  </si>
  <si>
    <t>Industry Beta</t>
  </si>
  <si>
    <t>Short Term Growth Rate</t>
  </si>
  <si>
    <t>Nominal Growth Rate</t>
  </si>
  <si>
    <t>Transition Period (years)</t>
  </si>
  <si>
    <t>LT Growth rate</t>
  </si>
  <si>
    <t>Long Term Normal Growth Rate</t>
  </si>
  <si>
    <t>Terminal Value</t>
  </si>
  <si>
    <t>Discount Factor</t>
  </si>
  <si>
    <t>Enterprise Value</t>
  </si>
  <si>
    <t>Cumulative PV of UFCF</t>
  </si>
  <si>
    <t>PV of Terminal Value</t>
  </si>
  <si>
    <t>% of Enterprise Value</t>
  </si>
  <si>
    <t>Unlevered Free Cash Flow</t>
  </si>
  <si>
    <t>Implied Equity Value</t>
  </si>
  <si>
    <t>Total Debt</t>
  </si>
  <si>
    <t>Minority Interest</t>
  </si>
  <si>
    <t>Cash and Cash Equivalents</t>
  </si>
  <si>
    <t>Implied Equity Value (Market Cap)</t>
  </si>
  <si>
    <t>Fully Diluted Shares Outstanding</t>
  </si>
  <si>
    <t>Implied Price Per Share</t>
  </si>
  <si>
    <t>Less Increase (or Plus Decrease) in NWC</t>
  </si>
  <si>
    <t>Sensitivity Table</t>
  </si>
  <si>
    <t>H-Model: Period Of High Growth Beyound Projection</t>
  </si>
  <si>
    <t>Unlevered Free Cash Flow to the Firm</t>
  </si>
  <si>
    <t>Discounting of Annual Free Cash Flow</t>
  </si>
  <si>
    <t>Discount Period (Mid-Year Convention)</t>
  </si>
  <si>
    <t>PVLS Factor</t>
  </si>
  <si>
    <t>Present Value of Free Cash Flow</t>
  </si>
  <si>
    <t>Discounted Cash Flow Model - EV/EBITDA</t>
  </si>
  <si>
    <t xml:space="preserve">EV/EBITDA </t>
  </si>
  <si>
    <t>Terminal Year EBITDA</t>
  </si>
  <si>
    <t>Comps EV/EBITDA Multiple</t>
  </si>
  <si>
    <t>Enterprise Value:</t>
  </si>
  <si>
    <t>&lt;-- It had the wrong number</t>
  </si>
  <si>
    <t xml:space="preserve">Multiple </t>
  </si>
  <si>
    <t>Terminal Year EBIT</t>
  </si>
  <si>
    <t>Comps EV/EBIT Multiple</t>
  </si>
  <si>
    <t>Comparable Companiese Base Data</t>
  </si>
  <si>
    <t>TARGET Firm</t>
  </si>
  <si>
    <t>ONON</t>
  </si>
  <si>
    <t>BIRK</t>
  </si>
  <si>
    <t>ADDYY</t>
  </si>
  <si>
    <t>PBYI</t>
  </si>
  <si>
    <t>ASCCY</t>
  </si>
  <si>
    <t>AS</t>
  </si>
  <si>
    <t>CROX</t>
  </si>
  <si>
    <t>SHOO</t>
  </si>
  <si>
    <t>SKX</t>
  </si>
  <si>
    <t>WWW</t>
  </si>
  <si>
    <t xml:space="preserve">On Holdings </t>
  </si>
  <si>
    <t>Birkenstock Holding</t>
  </si>
  <si>
    <t>Adidas US Equity</t>
  </si>
  <si>
    <t>Puma SE</t>
  </si>
  <si>
    <t>Asics</t>
  </si>
  <si>
    <t>Amer Sports</t>
  </si>
  <si>
    <t>Crocs INC</t>
  </si>
  <si>
    <t>Deckers Outdoor</t>
  </si>
  <si>
    <t>Steve Madden LTD</t>
  </si>
  <si>
    <t>Skechers USA</t>
  </si>
  <si>
    <t>World Wide Wolverine</t>
  </si>
  <si>
    <t>Lululemon</t>
  </si>
  <si>
    <t>Currency</t>
  </si>
  <si>
    <t>USD</t>
  </si>
  <si>
    <t>Far Forecast Revenue</t>
  </si>
  <si>
    <t>Far Forecast Date</t>
  </si>
  <si>
    <t>LTM Revenue</t>
  </si>
  <si>
    <t>LTM Date</t>
  </si>
  <si>
    <t>LTM Gross Profit</t>
  </si>
  <si>
    <t>LTM EBITDA</t>
  </si>
  <si>
    <t xml:space="preserve">LTM EBIT </t>
  </si>
  <si>
    <t>LTM OCF</t>
  </si>
  <si>
    <t>LFY FCF</t>
  </si>
  <si>
    <t>Debt</t>
  </si>
  <si>
    <t>Market Cap</t>
  </si>
  <si>
    <t>Rev Forecast Mo.</t>
  </si>
  <si>
    <t>Rev Forecast Yrs.</t>
  </si>
  <si>
    <t>Exp. Rev. Growth</t>
  </si>
  <si>
    <t>Gross Profit Margin</t>
  </si>
  <si>
    <t>OCF Margin</t>
  </si>
  <si>
    <t>FCF Margin</t>
  </si>
  <si>
    <t>Debt/Debt+Equity Margin</t>
  </si>
  <si>
    <t>Sort Data</t>
  </si>
  <si>
    <t>Value Drivers</t>
  </si>
  <si>
    <t>Debt/Debt+Equity</t>
  </si>
  <si>
    <t>Sort Summary</t>
  </si>
  <si>
    <t>Final Selections</t>
  </si>
  <si>
    <t>Direct Valuation</t>
  </si>
  <si>
    <t>Multiples from Comps</t>
  </si>
  <si>
    <t>% Difference Calculation</t>
  </si>
  <si>
    <t>Mean</t>
  </si>
  <si>
    <t>Median</t>
  </si>
  <si>
    <t>% Diff</t>
  </si>
  <si>
    <t>P/E</t>
  </si>
  <si>
    <t>P/B</t>
  </si>
  <si>
    <t>P/BV</t>
  </si>
  <si>
    <t>P/TBV</t>
  </si>
  <si>
    <t>-</t>
  </si>
  <si>
    <t>P/OCF</t>
  </si>
  <si>
    <t>P/FCF</t>
  </si>
  <si>
    <t>Price Multiples Per Share</t>
  </si>
  <si>
    <t>Per share data</t>
  </si>
  <si>
    <t>2025 Y EST</t>
  </si>
  <si>
    <t>Book Value Per Share</t>
  </si>
  <si>
    <t xml:space="preserve">Direct Valuation </t>
  </si>
  <si>
    <t>Tangible Book Value Per Share</t>
  </si>
  <si>
    <t>/</t>
  </si>
  <si>
    <t xml:space="preserve">Selected Metric </t>
  </si>
  <si>
    <t>Earnings Per Share (normalized net income)</t>
  </si>
  <si>
    <t>OCF Per Share</t>
  </si>
  <si>
    <t>ONON OCF/Share</t>
  </si>
  <si>
    <t>Earnings/Share</t>
  </si>
  <si>
    <t>FCF Per Share</t>
  </si>
  <si>
    <t xml:space="preserve">Median Multiple </t>
  </si>
  <si>
    <t>Implied Share Price</t>
  </si>
  <si>
    <t>Indirect Valuation</t>
  </si>
  <si>
    <t>EV/S</t>
  </si>
  <si>
    <t>EV/EBITDA</t>
  </si>
  <si>
    <t>EV/EBIT</t>
  </si>
  <si>
    <t xml:space="preserve">Indirect Valuation </t>
  </si>
  <si>
    <t>Selected Metric</t>
  </si>
  <si>
    <t>ONON EBITDA</t>
  </si>
  <si>
    <t>Median Multiple</t>
  </si>
  <si>
    <t>ONON Est. EV</t>
  </si>
  <si>
    <t xml:space="preserve">   Less Debt</t>
  </si>
  <si>
    <t xml:space="preserve">   Preferred Stock/Minority Interest</t>
  </si>
  <si>
    <t>Plus Cash</t>
  </si>
  <si>
    <t>ONON EQ Val</t>
  </si>
  <si>
    <t>CAGR</t>
  </si>
  <si>
    <t>Weight</t>
  </si>
  <si>
    <t>DCF H-Model</t>
  </si>
  <si>
    <t>Direct P/OCF</t>
  </si>
  <si>
    <t>Indirect EV/EBIDTA</t>
  </si>
  <si>
    <t>,l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</si>
</sst>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0.0_);[Red]\(0.0\)"/>
    <numFmt numFmtId="166" formatCode="0.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&quot;$&quot;#,##0"/>
    <numFmt numFmtId="170" formatCode="&quot;$&quot;#,##0.0"/>
    <numFmt numFmtId="171" formatCode="&quot;$&quot;#,##0.00"/>
    <numFmt numFmtId="172" formatCode="&quot;FY&quot;\ 0"/>
    <numFmt numFmtId="173" formatCode="_(#,##0.00%_);\(#,##0.00%\);_(&quot;–&quot;_);_(@_)"/>
    <numFmt numFmtId="174" formatCode="_-* #,##0.0_-;\-* #,##0.0_-;_-* &quot;-&quot;??_-;_-@"/>
    <numFmt numFmtId="175" formatCode="_(#,##0.00_);\(#,##0.00\);_(&quot;–&quot;_);_(@_)"/>
    <numFmt numFmtId="176" formatCode="#,##0.0_);[Red]\(#,##0.0\)"/>
    <numFmt numFmtId="177" formatCode="00.0\x"/>
    <numFmt numFmtId="178" formatCode="_(* #,##0.0_);_(* \(#,##0.0\);_(* &quot;-&quot;??_);_(@_)"/>
    <numFmt numFmtId="179" formatCode="_(#,##0.0%_);\(#,##0.0%\);_(&quot;–&quot;_);_(@_)"/>
    <numFmt numFmtId="180" formatCode="#,##0.0"/>
    <numFmt numFmtId="181" formatCode="_-* #,##0_-;\-* #,##0_-;_-* &quot;-&quot;??_-;_-@"/>
    <numFmt numFmtId="182" formatCode="0.0\x"/>
    <numFmt numFmtId="183" formatCode="&quot;$&quot;#,##0.0_);[Red]\(&quot;$&quot;#,##0.0\)"/>
    <numFmt numFmtId="184" formatCode="00.00000\x"/>
    <numFmt numFmtId="185" formatCode="00.000000\x"/>
    <numFmt numFmtId="186" formatCode="[$¥-411]#,##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36"/>
      <color theme="0"/>
      <name val="Times New Roman"/>
      <family val="1"/>
    </font>
    <font>
      <b/>
      <sz val="14"/>
      <color rgb="FFFFFFFF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theme="0"/>
      <name val="Garamond"/>
      <family val="1"/>
    </font>
    <font>
      <sz val="14"/>
      <color theme="1"/>
      <name val="Garamond"/>
      <family val="1"/>
    </font>
    <font>
      <b/>
      <sz val="14"/>
      <color theme="1"/>
      <name val="Garamond"/>
      <family val="1"/>
    </font>
    <font>
      <sz val="12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theme="7" tint="-0.499984740745262"/>
      <name val="Times New Roman"/>
      <family val="1"/>
    </font>
    <font>
      <sz val="36"/>
      <color theme="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1"/>
      <color theme="3" tint="9.9978637043366805E-2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rgb="FF440000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i/>
      <sz val="11"/>
      <color rgb="FF000000"/>
      <name val="Cambria"/>
      <family val="1"/>
      <scheme val="major"/>
    </font>
    <font>
      <sz val="12"/>
      <color theme="1"/>
      <name val="Times New Roman"/>
      <family val="1"/>
    </font>
    <font>
      <i/>
      <sz val="11"/>
      <color theme="1"/>
      <name val="Cambria"/>
      <family val="1"/>
      <scheme val="major"/>
    </font>
    <font>
      <b/>
      <sz val="14"/>
      <color theme="0"/>
      <name val="Times New Roman"/>
      <family val="1"/>
    </font>
    <font>
      <sz val="14"/>
      <name val="Times New Roman"/>
      <family val="1"/>
    </font>
    <font>
      <b/>
      <sz val="11"/>
      <color rgb="FFFF0000"/>
      <name val="Times New Roman"/>
      <family val="1"/>
    </font>
    <font>
      <sz val="14"/>
      <color rgb="FFFF0000"/>
      <name val="Calibri"/>
      <family val="2"/>
      <scheme val="minor"/>
    </font>
    <font>
      <b/>
      <sz val="11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theme="0"/>
      <name val="Calibri"/>
      <family val="2"/>
      <scheme val="minor"/>
    </font>
    <font>
      <sz val="11"/>
      <color rgb="FFFF0000"/>
      <name val="Times New Roman"/>
      <family val="1"/>
    </font>
    <font>
      <sz val="11"/>
      <color theme="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000066"/>
        <bgColor indexed="64"/>
      </patternFill>
    </fill>
    <fill>
      <patternFill patternType="solid">
        <fgColor rgb="FF000066"/>
        <bgColor rgb="FF073763"/>
      </patternFill>
    </fill>
    <fill>
      <patternFill patternType="solid">
        <fgColor rgb="FF000066"/>
        <bgColor rgb="FF1C4587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73763"/>
      </patternFill>
    </fill>
    <fill>
      <patternFill patternType="solid">
        <fgColor rgb="FF002060"/>
        <bgColor rgb="FF1C4587"/>
      </patternFill>
    </fill>
    <fill>
      <patternFill patternType="solid">
        <fgColor rgb="FF00503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91B9A4"/>
        <bgColor indexed="64"/>
      </patternFill>
    </fill>
    <fill>
      <patternFill patternType="solid">
        <fgColor rgb="FF91B9A4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" fontId="5" fillId="0" borderId="0"/>
    <xf numFmtId="44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499">
    <xf numFmtId="0" fontId="0" fillId="0" borderId="0" xfId="0"/>
    <xf numFmtId="164" fontId="0" fillId="0" borderId="0" xfId="0" applyNumberFormat="1"/>
    <xf numFmtId="0" fontId="3" fillId="0" borderId="0" xfId="0" applyFont="1"/>
    <xf numFmtId="14" fontId="0" fillId="0" borderId="0" xfId="0" applyNumberFormat="1"/>
    <xf numFmtId="0" fontId="4" fillId="0" borderId="0" xfId="0" applyFont="1" applyAlignment="1">
      <alignment wrapText="1"/>
    </xf>
    <xf numFmtId="44" fontId="0" fillId="0" borderId="0" xfId="2" applyFont="1"/>
    <xf numFmtId="167" fontId="0" fillId="0" borderId="0" xfId="2" applyNumberFormat="1" applyFont="1"/>
    <xf numFmtId="168" fontId="0" fillId="0" borderId="0" xfId="2" applyNumberFormat="1" applyFont="1"/>
    <xf numFmtId="14" fontId="0" fillId="0" borderId="1" xfId="0" applyNumberFormat="1" applyBorder="1"/>
    <xf numFmtId="0" fontId="2" fillId="0" borderId="1" xfId="0" applyFont="1" applyBorder="1"/>
    <xf numFmtId="0" fontId="0" fillId="0" borderId="1" xfId="0" applyBorder="1"/>
    <xf numFmtId="167" fontId="0" fillId="0" borderId="1" xfId="2" applyNumberFormat="1" applyFont="1" applyFill="1" applyBorder="1"/>
    <xf numFmtId="168" fontId="0" fillId="0" borderId="1" xfId="2" applyNumberFormat="1" applyFont="1" applyFill="1" applyBorder="1"/>
    <xf numFmtId="167" fontId="0" fillId="0" borderId="1" xfId="2" applyNumberFormat="1" applyFont="1" applyBorder="1"/>
    <xf numFmtId="168" fontId="3" fillId="0" borderId="0" xfId="2" applyNumberFormat="1" applyFont="1"/>
    <xf numFmtId="167" fontId="4" fillId="0" borderId="0" xfId="2" applyNumberFormat="1" applyFont="1" applyAlignment="1">
      <alignment wrapText="1"/>
    </xf>
    <xf numFmtId="0" fontId="2" fillId="4" borderId="1" xfId="0" applyFont="1" applyFill="1" applyBorder="1"/>
    <xf numFmtId="0" fontId="0" fillId="2" borderId="1" xfId="0" applyFill="1" applyBorder="1"/>
    <xf numFmtId="10" fontId="0" fillId="2" borderId="1" xfId="0" applyNumberFormat="1" applyFill="1" applyBorder="1"/>
    <xf numFmtId="9" fontId="0" fillId="0" borderId="1" xfId="1" applyFont="1" applyBorder="1"/>
    <xf numFmtId="164" fontId="0" fillId="2" borderId="1" xfId="0" applyNumberFormat="1" applyFill="1" applyBorder="1"/>
    <xf numFmtId="168" fontId="2" fillId="0" borderId="1" xfId="2" applyNumberFormat="1" applyFont="1" applyBorder="1"/>
    <xf numFmtId="0" fontId="2" fillId="2" borderId="1" xfId="0" applyFont="1" applyFill="1" applyBorder="1" applyAlignment="1">
      <alignment horizontal="right"/>
    </xf>
    <xf numFmtId="167" fontId="2" fillId="0" borderId="1" xfId="2" applyNumberFormat="1" applyFont="1" applyBorder="1"/>
    <xf numFmtId="167" fontId="3" fillId="0" borderId="0" xfId="2" applyNumberFormat="1" applyFont="1"/>
    <xf numFmtId="0" fontId="0" fillId="4" borderId="0" xfId="0" applyFill="1"/>
    <xf numFmtId="0" fontId="8" fillId="4" borderId="0" xfId="0" applyFont="1" applyFill="1"/>
    <xf numFmtId="0" fontId="10" fillId="4" borderId="0" xfId="0" applyFont="1" applyFill="1"/>
    <xf numFmtId="0" fontId="10" fillId="4" borderId="21" xfId="0" applyFont="1" applyFill="1" applyBorder="1"/>
    <xf numFmtId="173" fontId="8" fillId="4" borderId="0" xfId="0" applyNumberFormat="1" applyFont="1" applyFill="1"/>
    <xf numFmtId="0" fontId="10" fillId="4" borderId="22" xfId="0" applyFont="1" applyFill="1" applyBorder="1"/>
    <xf numFmtId="164" fontId="8" fillId="4" borderId="23" xfId="1" applyNumberFormat="1" applyFont="1" applyFill="1" applyBorder="1" applyAlignment="1">
      <alignment horizontal="right"/>
    </xf>
    <xf numFmtId="0" fontId="11" fillId="8" borderId="0" xfId="0" applyFont="1" applyFill="1"/>
    <xf numFmtId="174" fontId="10" fillId="8" borderId="21" xfId="0" applyNumberFormat="1" applyFont="1" applyFill="1" applyBorder="1"/>
    <xf numFmtId="174" fontId="10" fillId="8" borderId="0" xfId="0" applyNumberFormat="1" applyFont="1" applyFill="1"/>
    <xf numFmtId="171" fontId="8" fillId="4" borderId="0" xfId="2" applyNumberFormat="1" applyFont="1" applyFill="1" applyBorder="1" applyAlignment="1">
      <alignment wrapText="1"/>
    </xf>
    <xf numFmtId="0" fontId="10" fillId="4" borderId="2" xfId="0" applyFont="1" applyFill="1" applyBorder="1"/>
    <xf numFmtId="164" fontId="8" fillId="4" borderId="3" xfId="1" applyNumberFormat="1" applyFont="1" applyFill="1" applyBorder="1" applyAlignment="1">
      <alignment horizontal="right"/>
    </xf>
    <xf numFmtId="0" fontId="10" fillId="4" borderId="0" xfId="0" applyFont="1" applyFill="1" applyAlignment="1">
      <alignment horizontal="right"/>
    </xf>
    <xf numFmtId="164" fontId="10" fillId="4" borderId="21" xfId="0" applyNumberFormat="1" applyFont="1" applyFill="1" applyBorder="1"/>
    <xf numFmtId="164" fontId="10" fillId="4" borderId="0" xfId="0" applyNumberFormat="1" applyFont="1" applyFill="1"/>
    <xf numFmtId="166" fontId="8" fillId="4" borderId="0" xfId="0" applyNumberFormat="1" applyFont="1" applyFill="1"/>
    <xf numFmtId="0" fontId="8" fillId="4" borderId="2" xfId="0" applyFont="1" applyFill="1" applyBorder="1"/>
    <xf numFmtId="175" fontId="8" fillId="4" borderId="3" xfId="0" applyNumberFormat="1" applyFont="1" applyFill="1" applyBorder="1" applyAlignment="1">
      <alignment horizontal="right"/>
    </xf>
    <xf numFmtId="0" fontId="10" fillId="4" borderId="0" xfId="0" applyFont="1" applyFill="1" applyAlignment="1">
      <alignment horizontal="left"/>
    </xf>
    <xf numFmtId="164" fontId="8" fillId="4" borderId="0" xfId="1" applyNumberFormat="1" applyFont="1" applyFill="1" applyBorder="1"/>
    <xf numFmtId="0" fontId="11" fillId="8" borderId="0" xfId="0" applyFont="1" applyFill="1" applyAlignment="1">
      <alignment horizontal="left"/>
    </xf>
    <xf numFmtId="1" fontId="8" fillId="4" borderId="0" xfId="1" applyNumberFormat="1" applyFont="1" applyFill="1" applyBorder="1"/>
    <xf numFmtId="0" fontId="8" fillId="4" borderId="6" xfId="0" applyFont="1" applyFill="1" applyBorder="1"/>
    <xf numFmtId="10" fontId="8" fillId="4" borderId="24" xfId="1" applyNumberFormat="1" applyFont="1" applyFill="1" applyBorder="1" applyAlignment="1">
      <alignment horizontal="right"/>
    </xf>
    <xf numFmtId="2" fontId="8" fillId="4" borderId="0" xfId="0" applyNumberFormat="1" applyFont="1" applyFill="1"/>
    <xf numFmtId="176" fontId="10" fillId="8" borderId="0" xfId="0" applyNumberFormat="1" applyFont="1" applyFill="1"/>
    <xf numFmtId="169" fontId="8" fillId="4" borderId="0" xfId="2" applyNumberFormat="1" applyFont="1" applyFill="1" applyAlignment="1">
      <alignment horizontal="right" wrapText="1"/>
    </xf>
    <xf numFmtId="169" fontId="8" fillId="4" borderId="0" xfId="0" applyNumberFormat="1" applyFont="1" applyFill="1" applyAlignment="1">
      <alignment horizontal="right"/>
    </xf>
    <xf numFmtId="0" fontId="8" fillId="4" borderId="0" xfId="0" applyFont="1" applyFill="1" applyAlignment="1">
      <alignment horizontal="left"/>
    </xf>
    <xf numFmtId="10" fontId="8" fillId="4" borderId="0" xfId="0" applyNumberFormat="1" applyFont="1" applyFill="1" applyAlignment="1">
      <alignment horizontal="right"/>
    </xf>
    <xf numFmtId="164" fontId="10" fillId="4" borderId="5" xfId="0" applyNumberFormat="1" applyFont="1" applyFill="1" applyBorder="1"/>
    <xf numFmtId="0" fontId="8" fillId="4" borderId="0" xfId="0" applyFont="1" applyFill="1" applyAlignment="1">
      <alignment horizontal="right"/>
    </xf>
    <xf numFmtId="6" fontId="8" fillId="4" borderId="0" xfId="0" applyNumberFormat="1" applyFont="1" applyFill="1" applyAlignment="1">
      <alignment horizontal="right"/>
    </xf>
    <xf numFmtId="3" fontId="8" fillId="4" borderId="0" xfId="0" applyNumberFormat="1" applyFont="1" applyFill="1" applyAlignment="1">
      <alignment horizontal="right"/>
    </xf>
    <xf numFmtId="165" fontId="10" fillId="8" borderId="21" xfId="0" applyNumberFormat="1" applyFont="1" applyFill="1" applyBorder="1"/>
    <xf numFmtId="165" fontId="10" fillId="8" borderId="0" xfId="0" applyNumberFormat="1" applyFont="1" applyFill="1"/>
    <xf numFmtId="0" fontId="8" fillId="0" borderId="9" xfId="0" applyFont="1" applyBorder="1"/>
    <xf numFmtId="178" fontId="10" fillId="8" borderId="5" xfId="0" applyNumberFormat="1" applyFont="1" applyFill="1" applyBorder="1"/>
    <xf numFmtId="178" fontId="10" fillId="8" borderId="0" xfId="0" applyNumberFormat="1" applyFont="1" applyFill="1"/>
    <xf numFmtId="0" fontId="10" fillId="8" borderId="21" xfId="0" applyFont="1" applyFill="1" applyBorder="1"/>
    <xf numFmtId="0" fontId="10" fillId="8" borderId="0" xfId="0" applyFont="1" applyFill="1"/>
    <xf numFmtId="164" fontId="10" fillId="8" borderId="21" xfId="0" applyNumberFormat="1" applyFont="1" applyFill="1" applyBorder="1"/>
    <xf numFmtId="164" fontId="10" fillId="8" borderId="0" xfId="0" applyNumberFormat="1" applyFont="1" applyFill="1"/>
    <xf numFmtId="2" fontId="10" fillId="8" borderId="21" xfId="0" applyNumberFormat="1" applyFont="1" applyFill="1" applyBorder="1"/>
    <xf numFmtId="2" fontId="10" fillId="8" borderId="0" xfId="0" applyNumberFormat="1" applyFont="1" applyFill="1"/>
    <xf numFmtId="171" fontId="10" fillId="8" borderId="5" xfId="0" applyNumberFormat="1" applyFont="1" applyFill="1" applyBorder="1"/>
    <xf numFmtId="171" fontId="10" fillId="8" borderId="0" xfId="0" applyNumberFormat="1" applyFont="1" applyFill="1"/>
    <xf numFmtId="177" fontId="8" fillId="4" borderId="0" xfId="0" applyNumberFormat="1" applyFont="1" applyFill="1"/>
    <xf numFmtId="10" fontId="8" fillId="4" borderId="0" xfId="1" applyNumberFormat="1" applyFont="1" applyFill="1" applyBorder="1"/>
    <xf numFmtId="179" fontId="8" fillId="4" borderId="0" xfId="0" applyNumberFormat="1" applyFont="1" applyFill="1"/>
    <xf numFmtId="171" fontId="9" fillId="4" borderId="22" xfId="4" applyNumberFormat="1" applyFont="1" applyFill="1" applyBorder="1"/>
    <xf numFmtId="0" fontId="8" fillId="4" borderId="26" xfId="0" applyFont="1" applyFill="1" applyBorder="1"/>
    <xf numFmtId="1" fontId="8" fillId="4" borderId="26" xfId="0" applyNumberFormat="1" applyFont="1" applyFill="1" applyBorder="1"/>
    <xf numFmtId="0" fontId="8" fillId="4" borderId="27" xfId="0" applyFont="1" applyFill="1" applyBorder="1"/>
    <xf numFmtId="10" fontId="8" fillId="4" borderId="2" xfId="1" applyNumberFormat="1" applyFont="1" applyFill="1" applyBorder="1"/>
    <xf numFmtId="44" fontId="8" fillId="4" borderId="22" xfId="4" applyFont="1" applyFill="1" applyBorder="1"/>
    <xf numFmtId="44" fontId="8" fillId="4" borderId="26" xfId="4" applyFont="1" applyFill="1" applyBorder="1"/>
    <xf numFmtId="44" fontId="8" fillId="4" borderId="27" xfId="4" applyFont="1" applyFill="1" applyBorder="1"/>
    <xf numFmtId="44" fontId="8" fillId="4" borderId="2" xfId="4" applyFont="1" applyFill="1" applyBorder="1"/>
    <xf numFmtId="44" fontId="8" fillId="4" borderId="23" xfId="4" applyFont="1" applyFill="1" applyBorder="1"/>
    <xf numFmtId="44" fontId="8" fillId="4" borderId="29" xfId="4" applyFont="1" applyFill="1" applyBorder="1"/>
    <xf numFmtId="44" fontId="12" fillId="4" borderId="0" xfId="4" applyFont="1" applyFill="1" applyBorder="1"/>
    <xf numFmtId="44" fontId="8" fillId="4" borderId="3" xfId="4" applyFont="1" applyFill="1" applyBorder="1"/>
    <xf numFmtId="44" fontId="8" fillId="4" borderId="6" xfId="4" applyFont="1" applyFill="1" applyBorder="1"/>
    <xf numFmtId="44" fontId="8" fillId="4" borderId="4" xfId="4" applyFont="1" applyFill="1" applyBorder="1"/>
    <xf numFmtId="44" fontId="8" fillId="4" borderId="24" xfId="4" applyFont="1" applyFill="1" applyBorder="1"/>
    <xf numFmtId="10" fontId="8" fillId="4" borderId="31" xfId="1" applyNumberFormat="1" applyFont="1" applyFill="1" applyBorder="1"/>
    <xf numFmtId="44" fontId="8" fillId="4" borderId="31" xfId="4" applyFont="1" applyFill="1" applyBorder="1"/>
    <xf numFmtId="44" fontId="8" fillId="4" borderId="7" xfId="4" applyFont="1" applyFill="1" applyBorder="1"/>
    <xf numFmtId="44" fontId="8" fillId="4" borderId="32" xfId="4" applyFont="1" applyFill="1" applyBorder="1"/>
    <xf numFmtId="180" fontId="8" fillId="4" borderId="0" xfId="0" applyNumberFormat="1" applyFont="1" applyFill="1" applyAlignment="1">
      <alignment horizontal="right"/>
    </xf>
    <xf numFmtId="0" fontId="7" fillId="10" borderId="0" xfId="0" applyFont="1" applyFill="1"/>
    <xf numFmtId="172" fontId="7" fillId="10" borderId="20" xfId="0" applyNumberFormat="1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7" fillId="11" borderId="0" xfId="0" applyFont="1" applyFill="1"/>
    <xf numFmtId="0" fontId="7" fillId="11" borderId="0" xfId="0" applyFont="1" applyFill="1" applyAlignment="1">
      <alignment horizontal="center" wrapText="1"/>
    </xf>
    <xf numFmtId="0" fontId="7" fillId="11" borderId="0" xfId="0" applyFont="1" applyFill="1" applyAlignment="1">
      <alignment horizontal="right" wrapText="1"/>
    </xf>
    <xf numFmtId="0" fontId="7" fillId="10" borderId="20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13" fillId="4" borderId="0" xfId="0" applyFont="1" applyFill="1"/>
    <xf numFmtId="171" fontId="8" fillId="4" borderId="0" xfId="2" applyNumberFormat="1" applyFont="1" applyFill="1" applyAlignment="1">
      <alignment wrapText="1"/>
    </xf>
    <xf numFmtId="181" fontId="8" fillId="4" borderId="0" xfId="0" applyNumberFormat="1" applyFont="1" applyFill="1" applyAlignment="1">
      <alignment horizontal="right"/>
    </xf>
    <xf numFmtId="0" fontId="7" fillId="4" borderId="0" xfId="0" applyFont="1" applyFill="1"/>
    <xf numFmtId="0" fontId="7" fillId="4" borderId="0" xfId="0" applyFont="1" applyFill="1" applyAlignment="1">
      <alignment horizontal="center" wrapText="1"/>
    </xf>
    <xf numFmtId="169" fontId="8" fillId="4" borderId="0" xfId="2" applyNumberFormat="1" applyFont="1" applyFill="1" applyAlignment="1">
      <alignment wrapText="1"/>
    </xf>
    <xf numFmtId="164" fontId="8" fillId="4" borderId="0" xfId="1" applyNumberFormat="1" applyFont="1" applyFill="1" applyAlignment="1">
      <alignment horizontal="right"/>
    </xf>
    <xf numFmtId="175" fontId="8" fillId="4" borderId="0" xfId="0" applyNumberFormat="1" applyFont="1" applyFill="1" applyAlignment="1">
      <alignment horizontal="right"/>
    </xf>
    <xf numFmtId="10" fontId="8" fillId="4" borderId="0" xfId="1" applyNumberFormat="1" applyFont="1" applyFill="1" applyAlignment="1">
      <alignment horizontal="right"/>
    </xf>
    <xf numFmtId="0" fontId="7" fillId="4" borderId="0" xfId="0" applyFont="1" applyFill="1" applyAlignment="1">
      <alignment horizontal="right" wrapText="1"/>
    </xf>
    <xf numFmtId="0" fontId="15" fillId="0" borderId="9" xfId="0" applyFont="1" applyBorder="1"/>
    <xf numFmtId="171" fontId="14" fillId="4" borderId="2" xfId="4" applyNumberFormat="1" applyFont="1" applyFill="1" applyBorder="1"/>
    <xf numFmtId="177" fontId="8" fillId="4" borderId="29" xfId="0" applyNumberFormat="1" applyFont="1" applyFill="1" applyBorder="1"/>
    <xf numFmtId="164" fontId="15" fillId="4" borderId="2" xfId="1" applyNumberFormat="1" applyFont="1" applyFill="1" applyBorder="1"/>
    <xf numFmtId="44" fontId="15" fillId="0" borderId="22" xfId="4" applyFont="1" applyBorder="1"/>
    <xf numFmtId="44" fontId="15" fillId="0" borderId="26" xfId="4" applyFont="1" applyBorder="1"/>
    <xf numFmtId="44" fontId="15" fillId="0" borderId="27" xfId="4" applyFont="1" applyBorder="1"/>
    <xf numFmtId="44" fontId="15" fillId="0" borderId="2" xfId="4" applyFont="1" applyBorder="1"/>
    <xf numFmtId="44" fontId="15" fillId="0" borderId="0" xfId="4" applyFont="1"/>
    <xf numFmtId="44" fontId="15" fillId="0" borderId="29" xfId="4" applyFont="1" applyBorder="1"/>
    <xf numFmtId="44" fontId="16" fillId="0" borderId="0" xfId="4" applyFont="1"/>
    <xf numFmtId="164" fontId="15" fillId="4" borderId="31" xfId="1" applyNumberFormat="1" applyFont="1" applyFill="1" applyBorder="1"/>
    <xf numFmtId="44" fontId="15" fillId="0" borderId="31" xfId="4" applyFont="1" applyBorder="1"/>
    <xf numFmtId="44" fontId="15" fillId="0" borderId="7" xfId="4" applyFont="1" applyBorder="1"/>
    <xf numFmtId="44" fontId="15" fillId="0" borderId="32" xfId="4" applyFont="1" applyBorder="1"/>
    <xf numFmtId="0" fontId="7" fillId="13" borderId="0" xfId="0" applyFont="1" applyFill="1"/>
    <xf numFmtId="172" fontId="7" fillId="13" borderId="20" xfId="0" applyNumberFormat="1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13" borderId="20" xfId="0" applyFont="1" applyFill="1" applyBorder="1" applyAlignment="1">
      <alignment horizontal="center"/>
    </xf>
    <xf numFmtId="0" fontId="7" fillId="14" borderId="0" xfId="0" applyFont="1" applyFill="1"/>
    <xf numFmtId="0" fontId="7" fillId="14" borderId="0" xfId="0" applyFont="1" applyFill="1" applyAlignment="1">
      <alignment horizontal="center" wrapText="1"/>
    </xf>
    <xf numFmtId="0" fontId="7" fillId="14" borderId="0" xfId="0" applyFont="1" applyFill="1" applyAlignment="1">
      <alignment horizontal="right" wrapText="1"/>
    </xf>
    <xf numFmtId="0" fontId="9" fillId="9" borderId="4" xfId="0" applyFont="1" applyFill="1" applyBorder="1" applyAlignment="1">
      <alignment horizontal="left"/>
    </xf>
    <xf numFmtId="0" fontId="0" fillId="4" borderId="9" xfId="0" applyFill="1" applyBorder="1"/>
    <xf numFmtId="0" fontId="6" fillId="15" borderId="0" xfId="0" applyFont="1" applyFill="1"/>
    <xf numFmtId="0" fontId="19" fillId="4" borderId="0" xfId="0" applyFont="1" applyFill="1"/>
    <xf numFmtId="0" fontId="21" fillId="4" borderId="0" xfId="0" applyFont="1" applyFill="1"/>
    <xf numFmtId="0" fontId="21" fillId="16" borderId="0" xfId="0" applyFont="1" applyFill="1" applyAlignment="1">
      <alignment vertical="center"/>
    </xf>
    <xf numFmtId="0" fontId="21" fillId="7" borderId="0" xfId="0" applyFont="1" applyFill="1" applyAlignment="1">
      <alignment wrapText="1"/>
    </xf>
    <xf numFmtId="0" fontId="21" fillId="16" borderId="0" xfId="0" applyFont="1" applyFill="1"/>
    <xf numFmtId="0" fontId="22" fillId="16" borderId="0" xfId="0" applyFont="1" applyFill="1"/>
    <xf numFmtId="0" fontId="22" fillId="4" borderId="0" xfId="0" applyFont="1" applyFill="1"/>
    <xf numFmtId="0" fontId="21" fillId="7" borderId="0" xfId="0" applyFont="1" applyFill="1"/>
    <xf numFmtId="0" fontId="21" fillId="7" borderId="9" xfId="0" applyFont="1" applyFill="1" applyBorder="1"/>
    <xf numFmtId="0" fontId="21" fillId="7" borderId="29" xfId="0" applyFont="1" applyFill="1" applyBorder="1"/>
    <xf numFmtId="0" fontId="20" fillId="4" borderId="0" xfId="0" applyFont="1" applyFill="1"/>
    <xf numFmtId="0" fontId="20" fillId="16" borderId="0" xfId="0" applyFont="1" applyFill="1"/>
    <xf numFmtId="0" fontId="19" fillId="7" borderId="0" xfId="0" applyFont="1" applyFill="1" applyAlignment="1">
      <alignment wrapText="1"/>
    </xf>
    <xf numFmtId="0" fontId="20" fillId="7" borderId="0" xfId="0" applyFont="1" applyFill="1" applyAlignment="1">
      <alignment wrapText="1"/>
    </xf>
    <xf numFmtId="0" fontId="20" fillId="7" borderId="0" xfId="0" applyFont="1" applyFill="1"/>
    <xf numFmtId="0" fontId="21" fillId="17" borderId="16" xfId="0" applyFont="1" applyFill="1" applyBorder="1"/>
    <xf numFmtId="169" fontId="21" fillId="18" borderId="17" xfId="0" applyNumberFormat="1" applyFont="1" applyFill="1" applyBorder="1"/>
    <xf numFmtId="0" fontId="21" fillId="4" borderId="16" xfId="0" applyFont="1" applyFill="1" applyBorder="1"/>
    <xf numFmtId="169" fontId="19" fillId="16" borderId="0" xfId="0" applyNumberFormat="1" applyFont="1" applyFill="1"/>
    <xf numFmtId="6" fontId="19" fillId="16" borderId="0" xfId="0" applyNumberFormat="1" applyFont="1" applyFill="1"/>
    <xf numFmtId="0" fontId="19" fillId="7" borderId="0" xfId="0" applyFont="1" applyFill="1"/>
    <xf numFmtId="0" fontId="21" fillId="18" borderId="16" xfId="0" applyFont="1" applyFill="1" applyBorder="1" applyAlignment="1">
      <alignment horizontal="left" indent="2"/>
    </xf>
    <xf numFmtId="14" fontId="21" fillId="18" borderId="17" xfId="0" applyNumberFormat="1" applyFont="1" applyFill="1" applyBorder="1"/>
    <xf numFmtId="0" fontId="21" fillId="4" borderId="16" xfId="0" applyFont="1" applyFill="1" applyBorder="1" applyAlignment="1">
      <alignment horizontal="left" indent="2"/>
    </xf>
    <xf numFmtId="14" fontId="19" fillId="16" borderId="0" xfId="0" applyNumberFormat="1" applyFont="1" applyFill="1"/>
    <xf numFmtId="0" fontId="21" fillId="18" borderId="16" xfId="0" applyFont="1" applyFill="1" applyBorder="1" applyAlignment="1">
      <alignment horizontal="left"/>
    </xf>
    <xf numFmtId="169" fontId="21" fillId="18" borderId="17" xfId="2" applyNumberFormat="1" applyFont="1" applyFill="1" applyBorder="1"/>
    <xf numFmtId="0" fontId="21" fillId="4" borderId="16" xfId="0" applyFont="1" applyFill="1" applyBorder="1" applyAlignment="1">
      <alignment horizontal="left"/>
    </xf>
    <xf numFmtId="14" fontId="21" fillId="18" borderId="17" xfId="2" applyNumberFormat="1" applyFont="1" applyFill="1" applyBorder="1"/>
    <xf numFmtId="0" fontId="21" fillId="18" borderId="16" xfId="0" applyFont="1" applyFill="1" applyBorder="1"/>
    <xf numFmtId="170" fontId="19" fillId="16" borderId="0" xfId="0" applyNumberFormat="1" applyFont="1" applyFill="1"/>
    <xf numFmtId="0" fontId="21" fillId="18" borderId="14" xfId="0" applyFont="1" applyFill="1" applyBorder="1"/>
    <xf numFmtId="169" fontId="21" fillId="18" borderId="15" xfId="0" applyNumberFormat="1" applyFont="1" applyFill="1" applyBorder="1"/>
    <xf numFmtId="0" fontId="21" fillId="4" borderId="14" xfId="0" applyFont="1" applyFill="1" applyBorder="1"/>
    <xf numFmtId="0" fontId="19" fillId="7" borderId="12" xfId="0" applyFont="1" applyFill="1" applyBorder="1"/>
    <xf numFmtId="0" fontId="19" fillId="7" borderId="7" xfId="0" applyFont="1" applyFill="1" applyBorder="1"/>
    <xf numFmtId="1" fontId="19" fillId="7" borderId="7" xfId="0" applyNumberFormat="1" applyFont="1" applyFill="1" applyBorder="1"/>
    <xf numFmtId="2" fontId="19" fillId="7" borderId="7" xfId="0" applyNumberFormat="1" applyFont="1" applyFill="1" applyBorder="1"/>
    <xf numFmtId="0" fontId="19" fillId="7" borderId="38" xfId="0" applyFont="1" applyFill="1" applyBorder="1"/>
    <xf numFmtId="164" fontId="19" fillId="7" borderId="27" xfId="0" applyNumberFormat="1" applyFont="1" applyFill="1" applyBorder="1"/>
    <xf numFmtId="0" fontId="23" fillId="4" borderId="0" xfId="0" applyFont="1" applyFill="1"/>
    <xf numFmtId="0" fontId="19" fillId="7" borderId="9" xfId="0" applyFont="1" applyFill="1" applyBorder="1"/>
    <xf numFmtId="9" fontId="19" fillId="7" borderId="29" xfId="0" applyNumberFormat="1" applyFont="1" applyFill="1" applyBorder="1"/>
    <xf numFmtId="0" fontId="19" fillId="7" borderId="8" xfId="0" applyFont="1" applyFill="1" applyBorder="1"/>
    <xf numFmtId="9" fontId="19" fillId="7" borderId="32" xfId="0" applyNumberFormat="1" applyFont="1" applyFill="1" applyBorder="1"/>
    <xf numFmtId="164" fontId="19" fillId="7" borderId="32" xfId="0" applyNumberFormat="1" applyFont="1" applyFill="1" applyBorder="1"/>
    <xf numFmtId="0" fontId="19" fillId="4" borderId="12" xfId="0" applyFont="1" applyFill="1" applyBorder="1"/>
    <xf numFmtId="0" fontId="19" fillId="0" borderId="0" xfId="0" applyFont="1"/>
    <xf numFmtId="0" fontId="21" fillId="18" borderId="37" xfId="0" applyFont="1" applyFill="1" applyBorder="1"/>
    <xf numFmtId="0" fontId="21" fillId="4" borderId="37" xfId="0" applyFont="1" applyFill="1" applyBorder="1"/>
    <xf numFmtId="169" fontId="19" fillId="16" borderId="10" xfId="0" applyNumberFormat="1" applyFont="1" applyFill="1" applyBorder="1"/>
    <xf numFmtId="169" fontId="19" fillId="16" borderId="32" xfId="0" applyNumberFormat="1" applyFont="1" applyFill="1" applyBorder="1"/>
    <xf numFmtId="0" fontId="21" fillId="4" borderId="19" xfId="0" applyFont="1" applyFill="1" applyBorder="1"/>
    <xf numFmtId="0" fontId="21" fillId="4" borderId="43" xfId="0" applyFont="1" applyFill="1" applyBorder="1"/>
    <xf numFmtId="169" fontId="21" fillId="18" borderId="10" xfId="0" applyNumberFormat="1" applyFont="1" applyFill="1" applyBorder="1"/>
    <xf numFmtId="169" fontId="21" fillId="18" borderId="32" xfId="0" applyNumberFormat="1" applyFont="1" applyFill="1" applyBorder="1"/>
    <xf numFmtId="0" fontId="19" fillId="4" borderId="34" xfId="0" applyFont="1" applyFill="1" applyBorder="1"/>
    <xf numFmtId="164" fontId="19" fillId="4" borderId="36" xfId="1" applyNumberFormat="1" applyFont="1" applyFill="1" applyBorder="1"/>
    <xf numFmtId="9" fontId="19" fillId="4" borderId="0" xfId="1" applyFont="1" applyFill="1"/>
    <xf numFmtId="0" fontId="25" fillId="4" borderId="0" xfId="0" applyFont="1" applyFill="1"/>
    <xf numFmtId="0" fontId="26" fillId="7" borderId="40" xfId="0" applyFont="1" applyFill="1" applyBorder="1"/>
    <xf numFmtId="0" fontId="27" fillId="4" borderId="38" xfId="0" applyFont="1" applyFill="1" applyBorder="1" applyAlignment="1">
      <alignment horizontal="center"/>
    </xf>
    <xf numFmtId="0" fontId="27" fillId="4" borderId="26" xfId="0" applyFont="1" applyFill="1" applyBorder="1" applyAlignment="1">
      <alignment horizontal="center"/>
    </xf>
    <xf numFmtId="0" fontId="25" fillId="7" borderId="11" xfId="0" applyFont="1" applyFill="1" applyBorder="1"/>
    <xf numFmtId="164" fontId="25" fillId="7" borderId="45" xfId="0" applyNumberFormat="1" applyFont="1" applyFill="1" applyBorder="1" applyAlignment="1">
      <alignment horizontal="center"/>
    </xf>
    <xf numFmtId="164" fontId="25" fillId="4" borderId="46" xfId="0" applyNumberFormat="1" applyFont="1" applyFill="1" applyBorder="1"/>
    <xf numFmtId="0" fontId="25" fillId="7" borderId="9" xfId="0" applyFont="1" applyFill="1" applyBorder="1"/>
    <xf numFmtId="164" fontId="25" fillId="7" borderId="47" xfId="0" applyNumberFormat="1" applyFont="1" applyFill="1" applyBorder="1" applyAlignment="1">
      <alignment horizontal="center"/>
    </xf>
    <xf numFmtId="164" fontId="25" fillId="4" borderId="0" xfId="0" applyNumberFormat="1" applyFont="1" applyFill="1"/>
    <xf numFmtId="0" fontId="25" fillId="7" borderId="8" xfId="0" applyFont="1" applyFill="1" applyBorder="1"/>
    <xf numFmtId="164" fontId="25" fillId="7" borderId="48" xfId="0" applyNumberFormat="1" applyFont="1" applyFill="1" applyBorder="1" applyAlignment="1">
      <alignment horizontal="center"/>
    </xf>
    <xf numFmtId="164" fontId="25" fillId="4" borderId="49" xfId="0" applyNumberFormat="1" applyFont="1" applyFill="1" applyBorder="1"/>
    <xf numFmtId="0" fontId="26" fillId="5" borderId="38" xfId="0" applyFont="1" applyFill="1" applyBorder="1"/>
    <xf numFmtId="0" fontId="27" fillId="4" borderId="50" xfId="0" applyFont="1" applyFill="1" applyBorder="1" applyAlignment="1">
      <alignment horizontal="center"/>
    </xf>
    <xf numFmtId="0" fontId="25" fillId="7" borderId="14" xfId="0" applyFont="1" applyFill="1" applyBorder="1"/>
    <xf numFmtId="164" fontId="25" fillId="7" borderId="51" xfId="0" applyNumberFormat="1" applyFont="1" applyFill="1" applyBorder="1" applyAlignment="1">
      <alignment horizontal="center"/>
    </xf>
    <xf numFmtId="164" fontId="25" fillId="4" borderId="0" xfId="1" applyNumberFormat="1" applyFont="1" applyFill="1" applyBorder="1"/>
    <xf numFmtId="0" fontId="26" fillId="5" borderId="16" xfId="0" applyFont="1" applyFill="1" applyBorder="1"/>
    <xf numFmtId="9" fontId="25" fillId="4" borderId="0" xfId="0" applyNumberFormat="1" applyFont="1" applyFill="1" applyAlignment="1">
      <alignment horizontal="center" vertical="center"/>
    </xf>
    <xf numFmtId="9" fontId="25" fillId="4" borderId="0" xfId="1" applyFont="1" applyFill="1" applyBorder="1" applyAlignment="1">
      <alignment horizontal="center"/>
    </xf>
    <xf numFmtId="0" fontId="26" fillId="5" borderId="52" xfId="0" applyFont="1" applyFill="1" applyBorder="1"/>
    <xf numFmtId="0" fontId="25" fillId="4" borderId="29" xfId="0" applyFont="1" applyFill="1" applyBorder="1"/>
    <xf numFmtId="0" fontId="29" fillId="4" borderId="8" xfId="0" applyFont="1" applyFill="1" applyBorder="1"/>
    <xf numFmtId="0" fontId="29" fillId="4" borderId="7" xfId="0" applyFont="1" applyFill="1" applyBorder="1"/>
    <xf numFmtId="0" fontId="29" fillId="4" borderId="0" xfId="0" applyFont="1" applyFill="1"/>
    <xf numFmtId="0" fontId="29" fillId="4" borderId="32" xfId="0" applyFont="1" applyFill="1" applyBorder="1"/>
    <xf numFmtId="0" fontId="27" fillId="4" borderId="23" xfId="0" applyFont="1" applyFill="1" applyBorder="1" applyAlignment="1">
      <alignment horizontal="center"/>
    </xf>
    <xf numFmtId="164" fontId="25" fillId="7" borderId="53" xfId="0" applyNumberFormat="1" applyFont="1" applyFill="1" applyBorder="1" applyAlignment="1">
      <alignment horizontal="center"/>
    </xf>
    <xf numFmtId="164" fontId="25" fillId="7" borderId="0" xfId="0" applyNumberFormat="1" applyFont="1" applyFill="1" applyAlignment="1">
      <alignment horizontal="center"/>
    </xf>
    <xf numFmtId="0" fontId="25" fillId="7" borderId="0" xfId="0" applyFont="1" applyFill="1"/>
    <xf numFmtId="0" fontId="28" fillId="19" borderId="34" xfId="0" applyFont="1" applyFill="1" applyBorder="1" applyAlignment="1">
      <alignment horizontal="center"/>
    </xf>
    <xf numFmtId="0" fontId="28" fillId="19" borderId="35" xfId="0" applyFont="1" applyFill="1" applyBorder="1" applyAlignment="1">
      <alignment horizontal="center"/>
    </xf>
    <xf numFmtId="0" fontId="28" fillId="19" borderId="36" xfId="0" applyFont="1" applyFill="1" applyBorder="1" applyAlignment="1">
      <alignment horizontal="center"/>
    </xf>
    <xf numFmtId="164" fontId="25" fillId="7" borderId="35" xfId="0" applyNumberFormat="1" applyFont="1" applyFill="1" applyBorder="1" applyAlignment="1">
      <alignment horizontal="center"/>
    </xf>
    <xf numFmtId="164" fontId="25" fillId="4" borderId="35" xfId="0" applyNumberFormat="1" applyFont="1" applyFill="1" applyBorder="1"/>
    <xf numFmtId="164" fontId="25" fillId="4" borderId="36" xfId="0" applyNumberFormat="1" applyFont="1" applyFill="1" applyBorder="1"/>
    <xf numFmtId="0" fontId="25" fillId="7" borderId="13" xfId="0" applyFont="1" applyFill="1" applyBorder="1"/>
    <xf numFmtId="164" fontId="25" fillId="0" borderId="51" xfId="0" applyNumberFormat="1" applyFont="1" applyBorder="1" applyAlignment="1">
      <alignment horizontal="center"/>
    </xf>
    <xf numFmtId="164" fontId="25" fillId="22" borderId="51" xfId="0" applyNumberFormat="1" applyFont="1" applyFill="1" applyBorder="1" applyAlignment="1">
      <alignment horizontal="center"/>
    </xf>
    <xf numFmtId="0" fontId="27" fillId="21" borderId="23" xfId="0" applyFont="1" applyFill="1" applyBorder="1" applyAlignment="1">
      <alignment horizontal="center"/>
    </xf>
    <xf numFmtId="164" fontId="25" fillId="22" borderId="53" xfId="0" applyNumberFormat="1" applyFont="1" applyFill="1" applyBorder="1" applyAlignment="1">
      <alignment horizontal="center"/>
    </xf>
    <xf numFmtId="0" fontId="27" fillId="21" borderId="26" xfId="0" applyFont="1" applyFill="1" applyBorder="1" applyAlignment="1">
      <alignment horizontal="center"/>
    </xf>
    <xf numFmtId="0" fontId="27" fillId="0" borderId="26" xfId="0" applyFont="1" applyBorder="1" applyAlignment="1">
      <alignment horizontal="center"/>
    </xf>
    <xf numFmtId="164" fontId="25" fillId="21" borderId="51" xfId="0" applyNumberFormat="1" applyFont="1" applyFill="1" applyBorder="1" applyAlignment="1">
      <alignment horizontal="center"/>
    </xf>
    <xf numFmtId="164" fontId="25" fillId="6" borderId="51" xfId="0" applyNumberFormat="1" applyFont="1" applyFill="1" applyBorder="1" applyAlignment="1">
      <alignment horizontal="center"/>
    </xf>
    <xf numFmtId="164" fontId="25" fillId="3" borderId="51" xfId="0" applyNumberFormat="1" applyFont="1" applyFill="1" applyBorder="1" applyAlignment="1">
      <alignment horizontal="center"/>
    </xf>
    <xf numFmtId="164" fontId="27" fillId="4" borderId="38" xfId="0" applyNumberFormat="1" applyFont="1" applyFill="1" applyBorder="1" applyAlignment="1">
      <alignment horizontal="center"/>
    </xf>
    <xf numFmtId="0" fontId="25" fillId="4" borderId="8" xfId="0" applyFont="1" applyFill="1" applyBorder="1"/>
    <xf numFmtId="0" fontId="29" fillId="23" borderId="7" xfId="0" applyFont="1" applyFill="1" applyBorder="1"/>
    <xf numFmtId="0" fontId="27" fillId="4" borderId="11" xfId="0" applyFont="1" applyFill="1" applyBorder="1" applyAlignment="1">
      <alignment horizontal="center"/>
    </xf>
    <xf numFmtId="0" fontId="27" fillId="4" borderId="12" xfId="0" applyFont="1" applyFill="1" applyBorder="1" applyAlignment="1">
      <alignment horizontal="center"/>
    </xf>
    <xf numFmtId="0" fontId="27" fillId="4" borderId="10" xfId="0" applyFont="1" applyFill="1" applyBorder="1" applyAlignment="1">
      <alignment horizontal="center"/>
    </xf>
    <xf numFmtId="0" fontId="25" fillId="0" borderId="0" xfId="0" applyFont="1"/>
    <xf numFmtId="0" fontId="28" fillId="4" borderId="0" xfId="0" applyFont="1" applyFill="1" applyAlignment="1">
      <alignment horizontal="center"/>
    </xf>
    <xf numFmtId="0" fontId="26" fillId="16" borderId="40" xfId="0" applyFont="1" applyFill="1" applyBorder="1" applyAlignment="1">
      <alignment horizontal="center"/>
    </xf>
    <xf numFmtId="0" fontId="26" fillId="16" borderId="44" xfId="0" applyFont="1" applyFill="1" applyBorder="1" applyAlignment="1">
      <alignment horizontal="center"/>
    </xf>
    <xf numFmtId="0" fontId="28" fillId="0" borderId="0" xfId="0" applyFont="1" applyAlignment="1">
      <alignment horizontal="right" vertical="center"/>
    </xf>
    <xf numFmtId="0" fontId="25" fillId="0" borderId="43" xfId="0" applyFont="1" applyBorder="1" applyAlignment="1">
      <alignment horizontal="center"/>
    </xf>
    <xf numFmtId="0" fontId="25" fillId="0" borderId="55" xfId="0" applyFont="1" applyBorder="1" applyAlignment="1">
      <alignment horizontal="center"/>
    </xf>
    <xf numFmtId="0" fontId="25" fillId="0" borderId="56" xfId="0" applyFont="1" applyBorder="1" applyAlignment="1">
      <alignment horizontal="center"/>
    </xf>
    <xf numFmtId="0" fontId="28" fillId="0" borderId="0" xfId="0" applyFont="1" applyAlignment="1">
      <alignment horizontal="right"/>
    </xf>
    <xf numFmtId="2" fontId="25" fillId="0" borderId="9" xfId="0" applyNumberFormat="1" applyFont="1" applyBorder="1" applyAlignment="1">
      <alignment horizontal="center"/>
    </xf>
    <xf numFmtId="2" fontId="25" fillId="0" borderId="21" xfId="0" applyNumberFormat="1" applyFont="1" applyBorder="1" applyAlignment="1">
      <alignment horizontal="center"/>
    </xf>
    <xf numFmtId="164" fontId="25" fillId="0" borderId="29" xfId="1" applyNumberFormat="1" applyFont="1" applyFill="1" applyBorder="1" applyAlignment="1">
      <alignment horizontal="center"/>
    </xf>
    <xf numFmtId="0" fontId="25" fillId="0" borderId="28" xfId="0" applyFont="1" applyBorder="1" applyAlignment="1">
      <alignment horizontal="center"/>
    </xf>
    <xf numFmtId="2" fontId="25" fillId="0" borderId="57" xfId="0" applyNumberFormat="1" applyFont="1" applyBorder="1" applyAlignment="1">
      <alignment horizontal="center"/>
    </xf>
    <xf numFmtId="2" fontId="28" fillId="0" borderId="39" xfId="0" applyNumberFormat="1" applyFont="1" applyBorder="1" applyAlignment="1">
      <alignment horizontal="center"/>
    </xf>
    <xf numFmtId="2" fontId="28" fillId="0" borderId="42" xfId="0" applyNumberFormat="1" applyFont="1" applyBorder="1" applyAlignment="1">
      <alignment horizontal="center"/>
    </xf>
    <xf numFmtId="2" fontId="25" fillId="0" borderId="30" xfId="0" applyNumberFormat="1" applyFont="1" applyBorder="1" applyAlignment="1">
      <alignment horizontal="center"/>
    </xf>
    <xf numFmtId="2" fontId="25" fillId="0" borderId="58" xfId="0" applyNumberFormat="1" applyFont="1" applyBorder="1" applyAlignment="1">
      <alignment horizontal="center"/>
    </xf>
    <xf numFmtId="164" fontId="25" fillId="0" borderId="59" xfId="1" applyNumberFormat="1" applyFont="1" applyFill="1" applyBorder="1" applyAlignment="1">
      <alignment horizontal="center"/>
    </xf>
    <xf numFmtId="0" fontId="28" fillId="0" borderId="0" xfId="0" applyFont="1"/>
    <xf numFmtId="14" fontId="30" fillId="0" borderId="0" xfId="0" applyNumberFormat="1" applyFont="1" applyAlignment="1">
      <alignment horizontal="right"/>
    </xf>
    <xf numFmtId="0" fontId="32" fillId="0" borderId="0" xfId="0" applyFont="1"/>
    <xf numFmtId="2" fontId="33" fillId="0" borderId="39" xfId="0" applyNumberFormat="1" applyFont="1" applyBorder="1" applyAlignment="1">
      <alignment horizontal="center"/>
    </xf>
    <xf numFmtId="0" fontId="32" fillId="0" borderId="0" xfId="0" applyFont="1" applyAlignment="1">
      <alignment horizontal="left"/>
    </xf>
    <xf numFmtId="0" fontId="20" fillId="4" borderId="9" xfId="0" applyFont="1" applyFill="1" applyBorder="1" applyAlignment="1">
      <alignment vertical="center"/>
    </xf>
    <xf numFmtId="0" fontId="20" fillId="4" borderId="29" xfId="0" applyFont="1" applyFill="1" applyBorder="1" applyAlignment="1">
      <alignment horizontal="right" indent="1"/>
    </xf>
    <xf numFmtId="0" fontId="19" fillId="19" borderId="9" xfId="0" applyFont="1" applyFill="1" applyBorder="1" applyAlignment="1">
      <alignment vertical="center"/>
    </xf>
    <xf numFmtId="0" fontId="19" fillId="19" borderId="0" xfId="0" applyFont="1" applyFill="1"/>
    <xf numFmtId="8" fontId="19" fillId="19" borderId="29" xfId="0" applyNumberFormat="1" applyFont="1" applyFill="1" applyBorder="1"/>
    <xf numFmtId="0" fontId="19" fillId="4" borderId="9" xfId="0" applyFont="1" applyFill="1" applyBorder="1" applyAlignment="1">
      <alignment vertical="center"/>
    </xf>
    <xf numFmtId="182" fontId="19" fillId="4" borderId="29" xfId="0" applyNumberFormat="1" applyFont="1" applyFill="1" applyBorder="1" applyAlignment="1">
      <alignment horizontal="right"/>
    </xf>
    <xf numFmtId="166" fontId="28" fillId="0" borderId="0" xfId="0" applyNumberFormat="1" applyFont="1" applyAlignment="1">
      <alignment horizontal="center"/>
    </xf>
    <xf numFmtId="2" fontId="33" fillId="0" borderId="42" xfId="0" applyNumberFormat="1" applyFont="1" applyBorder="1" applyAlignment="1">
      <alignment horizontal="center"/>
    </xf>
    <xf numFmtId="0" fontId="19" fillId="19" borderId="8" xfId="0" applyFont="1" applyFill="1" applyBorder="1" applyAlignment="1">
      <alignment vertical="center"/>
    </xf>
    <xf numFmtId="0" fontId="19" fillId="19" borderId="7" xfId="0" applyFont="1" applyFill="1" applyBorder="1"/>
    <xf numFmtId="0" fontId="25" fillId="0" borderId="0" xfId="0" applyFont="1" applyAlignment="1">
      <alignment horizontal="right"/>
    </xf>
    <xf numFmtId="8" fontId="25" fillId="0" borderId="0" xfId="0" applyNumberFormat="1" applyFont="1"/>
    <xf numFmtId="0" fontId="26" fillId="16" borderId="51" xfId="0" applyFont="1" applyFill="1" applyBorder="1" applyAlignment="1">
      <alignment horizontal="center"/>
    </xf>
    <xf numFmtId="0" fontId="20" fillId="4" borderId="0" xfId="0" applyFont="1" applyFill="1" applyAlignment="1">
      <alignment horizontal="right"/>
    </xf>
    <xf numFmtId="2" fontId="25" fillId="0" borderId="55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58" xfId="0" applyFont="1" applyBorder="1" applyAlignment="1">
      <alignment horizontal="center"/>
    </xf>
    <xf numFmtId="2" fontId="25" fillId="0" borderId="8" xfId="0" applyNumberFormat="1" applyFont="1" applyBorder="1" applyAlignment="1">
      <alignment horizontal="center"/>
    </xf>
    <xf numFmtId="164" fontId="25" fillId="0" borderId="32" xfId="1" applyNumberFormat="1" applyFont="1" applyFill="1" applyBorder="1" applyAlignment="1">
      <alignment horizontal="center"/>
    </xf>
    <xf numFmtId="0" fontId="20" fillId="4" borderId="11" xfId="0" applyFont="1" applyFill="1" applyBorder="1"/>
    <xf numFmtId="0" fontId="20" fillId="4" borderId="12" xfId="0" applyFont="1" applyFill="1" applyBorder="1" applyAlignment="1">
      <alignment horizontal="right"/>
    </xf>
    <xf numFmtId="0" fontId="20" fillId="4" borderId="10" xfId="0" applyFont="1" applyFill="1" applyBorder="1" applyAlignment="1">
      <alignment horizontal="right"/>
    </xf>
    <xf numFmtId="0" fontId="19" fillId="19" borderId="9" xfId="0" applyFont="1" applyFill="1" applyBorder="1"/>
    <xf numFmtId="6" fontId="19" fillId="19" borderId="0" xfId="0" applyNumberFormat="1" applyFont="1" applyFill="1"/>
    <xf numFmtId="6" fontId="19" fillId="19" borderId="29" xfId="0" applyNumberFormat="1" applyFont="1" applyFill="1" applyBorder="1"/>
    <xf numFmtId="0" fontId="19" fillId="4" borderId="9" xfId="0" applyFont="1" applyFill="1" applyBorder="1"/>
    <xf numFmtId="182" fontId="19" fillId="4" borderId="0" xfId="0" applyNumberFormat="1" applyFont="1" applyFill="1" applyAlignment="1">
      <alignment horizontal="right"/>
    </xf>
    <xf numFmtId="6" fontId="19" fillId="4" borderId="0" xfId="0" applyNumberFormat="1" applyFont="1" applyFill="1"/>
    <xf numFmtId="6" fontId="19" fillId="4" borderId="29" xfId="0" applyNumberFormat="1" applyFont="1" applyFill="1" applyBorder="1"/>
    <xf numFmtId="0" fontId="25" fillId="0" borderId="9" xfId="0" applyFont="1" applyBorder="1" applyAlignment="1">
      <alignment vertical="center"/>
    </xf>
    <xf numFmtId="183" fontId="19" fillId="4" borderId="29" xfId="0" applyNumberFormat="1" applyFont="1" applyFill="1" applyBorder="1"/>
    <xf numFmtId="0" fontId="19" fillId="4" borderId="28" xfId="0" applyFont="1" applyFill="1" applyBorder="1"/>
    <xf numFmtId="165" fontId="19" fillId="4" borderId="0" xfId="0" applyNumberFormat="1" applyFont="1" applyFill="1"/>
    <xf numFmtId="165" fontId="19" fillId="4" borderId="29" xfId="0" applyNumberFormat="1" applyFont="1" applyFill="1" applyBorder="1"/>
    <xf numFmtId="0" fontId="19" fillId="19" borderId="8" xfId="0" applyFont="1" applyFill="1" applyBorder="1"/>
    <xf numFmtId="171" fontId="19" fillId="19" borderId="7" xfId="0" applyNumberFormat="1" applyFont="1" applyFill="1" applyBorder="1"/>
    <xf numFmtId="169" fontId="19" fillId="3" borderId="10" xfId="0" applyNumberFormat="1" applyFont="1" applyFill="1" applyBorder="1"/>
    <xf numFmtId="169" fontId="19" fillId="3" borderId="32" xfId="0" applyNumberFormat="1" applyFont="1" applyFill="1" applyBorder="1"/>
    <xf numFmtId="0" fontId="0" fillId="23" borderId="7" xfId="0" applyFill="1" applyBorder="1"/>
    <xf numFmtId="0" fontId="29" fillId="23" borderId="54" xfId="0" applyFont="1" applyFill="1" applyBorder="1"/>
    <xf numFmtId="164" fontId="25" fillId="6" borderId="53" xfId="0" applyNumberFormat="1" applyFont="1" applyFill="1" applyBorder="1" applyAlignment="1">
      <alignment horizontal="center"/>
    </xf>
    <xf numFmtId="0" fontId="28" fillId="20" borderId="39" xfId="0" applyFont="1" applyFill="1" applyBorder="1" applyAlignment="1">
      <alignment horizontal="center"/>
    </xf>
    <xf numFmtId="2" fontId="28" fillId="20" borderId="39" xfId="0" applyNumberFormat="1" applyFont="1" applyFill="1" applyBorder="1" applyAlignment="1">
      <alignment horizontal="center"/>
    </xf>
    <xf numFmtId="2" fontId="28" fillId="20" borderId="42" xfId="0" applyNumberFormat="1" applyFont="1" applyFill="1" applyBorder="1" applyAlignment="1">
      <alignment horizontal="center"/>
    </xf>
    <xf numFmtId="0" fontId="26" fillId="16" borderId="19" xfId="0" applyFont="1" applyFill="1" applyBorder="1" applyAlignment="1">
      <alignment horizontal="center"/>
    </xf>
    <xf numFmtId="0" fontId="26" fillId="16" borderId="18" xfId="0" applyFont="1" applyFill="1" applyBorder="1" applyAlignment="1">
      <alignment horizontal="center"/>
    </xf>
    <xf numFmtId="0" fontId="26" fillId="16" borderId="34" xfId="0" applyFont="1" applyFill="1" applyBorder="1" applyAlignment="1">
      <alignment horizontal="center"/>
    </xf>
    <xf numFmtId="0" fontId="26" fillId="16" borderId="36" xfId="0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  <xf numFmtId="164" fontId="25" fillId="4" borderId="51" xfId="0" applyNumberFormat="1" applyFont="1" applyFill="1" applyBorder="1" applyAlignment="1">
      <alignment horizontal="center"/>
    </xf>
    <xf numFmtId="0" fontId="10" fillId="4" borderId="9" xfId="0" applyFont="1" applyFill="1" applyBorder="1"/>
    <xf numFmtId="0" fontId="10" fillId="4" borderId="29" xfId="0" applyFont="1" applyFill="1" applyBorder="1"/>
    <xf numFmtId="0" fontId="11" fillId="24" borderId="9" xfId="0" applyFont="1" applyFill="1" applyBorder="1"/>
    <xf numFmtId="0" fontId="10" fillId="4" borderId="9" xfId="0" applyFont="1" applyFill="1" applyBorder="1" applyAlignment="1">
      <alignment horizontal="right"/>
    </xf>
    <xf numFmtId="0" fontId="10" fillId="4" borderId="9" xfId="0" applyFont="1" applyFill="1" applyBorder="1" applyAlignment="1">
      <alignment horizontal="left"/>
    </xf>
    <xf numFmtId="0" fontId="11" fillId="24" borderId="9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left"/>
    </xf>
    <xf numFmtId="164" fontId="8" fillId="4" borderId="29" xfId="0" applyNumberFormat="1" applyFont="1" applyFill="1" applyBorder="1"/>
    <xf numFmtId="0" fontId="12" fillId="24" borderId="9" xfId="0" applyFont="1" applyFill="1" applyBorder="1" applyAlignment="1">
      <alignment horizontal="left"/>
    </xf>
    <xf numFmtId="0" fontId="8" fillId="4" borderId="29" xfId="0" applyFont="1" applyFill="1" applyBorder="1"/>
    <xf numFmtId="0" fontId="8" fillId="4" borderId="9" xfId="0" applyFont="1" applyFill="1" applyBorder="1" applyAlignment="1">
      <alignment horizontal="right"/>
    </xf>
    <xf numFmtId="164" fontId="8" fillId="4" borderId="7" xfId="0" applyNumberFormat="1" applyFont="1" applyFill="1" applyBorder="1"/>
    <xf numFmtId="0" fontId="34" fillId="13" borderId="11" xfId="0" applyFont="1" applyFill="1" applyBorder="1"/>
    <xf numFmtId="0" fontId="7" fillId="13" borderId="10" xfId="0" applyFont="1" applyFill="1" applyBorder="1"/>
    <xf numFmtId="0" fontId="7" fillId="13" borderId="11" xfId="0" applyFont="1" applyFill="1" applyBorder="1"/>
    <xf numFmtId="172" fontId="7" fillId="13" borderId="12" xfId="0" applyNumberFormat="1" applyFont="1" applyFill="1" applyBorder="1" applyAlignment="1">
      <alignment horizontal="center"/>
    </xf>
    <xf numFmtId="172" fontId="7" fillId="13" borderId="10" xfId="0" applyNumberFormat="1" applyFont="1" applyFill="1" applyBorder="1" applyAlignment="1">
      <alignment horizontal="center"/>
    </xf>
    <xf numFmtId="167" fontId="10" fillId="24" borderId="29" xfId="2" applyNumberFormat="1" applyFont="1" applyFill="1" applyBorder="1"/>
    <xf numFmtId="164" fontId="8" fillId="4" borderId="0" xfId="0" applyNumberFormat="1" applyFont="1" applyFill="1"/>
    <xf numFmtId="167" fontId="10" fillId="24" borderId="0" xfId="2" applyNumberFormat="1" applyFont="1" applyFill="1" applyBorder="1"/>
    <xf numFmtId="0" fontId="8" fillId="4" borderId="8" xfId="0" applyFont="1" applyFill="1" applyBorder="1" applyAlignment="1">
      <alignment horizontal="right"/>
    </xf>
    <xf numFmtId="0" fontId="36" fillId="4" borderId="0" xfId="0" applyFont="1" applyFill="1"/>
    <xf numFmtId="0" fontId="18" fillId="4" borderId="0" xfId="0" applyFont="1" applyFill="1"/>
    <xf numFmtId="0" fontId="37" fillId="4" borderId="0" xfId="0" applyFont="1" applyFill="1"/>
    <xf numFmtId="0" fontId="38" fillId="0" borderId="0" xfId="0" applyFont="1" applyAlignment="1">
      <alignment horizontal="right"/>
    </xf>
    <xf numFmtId="0" fontId="39" fillId="0" borderId="0" xfId="0" applyFont="1"/>
    <xf numFmtId="164" fontId="25" fillId="25" borderId="29" xfId="1" applyNumberFormat="1" applyFont="1" applyFill="1" applyBorder="1" applyAlignment="1">
      <alignment horizontal="center"/>
    </xf>
    <xf numFmtId="8" fontId="20" fillId="19" borderId="32" xfId="0" applyNumberFormat="1" applyFont="1" applyFill="1" applyBorder="1"/>
    <xf numFmtId="0" fontId="3" fillId="4" borderId="0" xfId="0" applyFont="1" applyFill="1"/>
    <xf numFmtId="0" fontId="25" fillId="0" borderId="29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171" fontId="20" fillId="19" borderId="32" xfId="0" applyNumberFormat="1" applyFont="1" applyFill="1" applyBorder="1"/>
    <xf numFmtId="0" fontId="6" fillId="12" borderId="0" xfId="0" applyFont="1" applyFill="1"/>
    <xf numFmtId="0" fontId="41" fillId="4" borderId="0" xfId="0" applyFont="1" applyFill="1"/>
    <xf numFmtId="0" fontId="0" fillId="0" borderId="12" xfId="0" applyBorder="1"/>
    <xf numFmtId="0" fontId="19" fillId="0" borderId="9" xfId="0" applyFont="1" applyBorder="1"/>
    <xf numFmtId="0" fontId="0" fillId="0" borderId="9" xfId="0" applyBorder="1"/>
    <xf numFmtId="0" fontId="0" fillId="0" borderId="7" xfId="0" applyBorder="1"/>
    <xf numFmtId="0" fontId="20" fillId="0" borderId="11" xfId="0" applyFont="1" applyBorder="1"/>
    <xf numFmtId="0" fontId="20" fillId="0" borderId="9" xfId="0" applyFont="1" applyBorder="1"/>
    <xf numFmtId="0" fontId="19" fillId="0" borderId="12" xfId="0" applyFont="1" applyBorder="1"/>
    <xf numFmtId="8" fontId="19" fillId="0" borderId="0" xfId="0" applyNumberFormat="1" applyFont="1"/>
    <xf numFmtId="0" fontId="19" fillId="0" borderId="29" xfId="0" applyFont="1" applyBorder="1"/>
    <xf numFmtId="0" fontId="20" fillId="0" borderId="0" xfId="0" applyFont="1"/>
    <xf numFmtId="44" fontId="19" fillId="0" borderId="0" xfId="2" applyFont="1" applyBorder="1"/>
    <xf numFmtId="0" fontId="20" fillId="0" borderId="8" xfId="0" applyFont="1" applyBorder="1"/>
    <xf numFmtId="9" fontId="19" fillId="0" borderId="0" xfId="1" applyFont="1"/>
    <xf numFmtId="2" fontId="25" fillId="0" borderId="28" xfId="0" applyNumberFormat="1" applyFont="1" applyBorder="1" applyAlignment="1">
      <alignment horizontal="center"/>
    </xf>
    <xf numFmtId="2" fontId="25" fillId="0" borderId="54" xfId="0" applyNumberFormat="1" applyFont="1" applyBorder="1" applyAlignment="1">
      <alignment horizontal="center"/>
    </xf>
    <xf numFmtId="2" fontId="25" fillId="0" borderId="32" xfId="0" applyNumberFormat="1" applyFont="1" applyBorder="1" applyAlignment="1">
      <alignment horizontal="center"/>
    </xf>
    <xf numFmtId="0" fontId="26" fillId="3" borderId="33" xfId="0" applyFont="1" applyFill="1" applyBorder="1" applyAlignment="1">
      <alignment horizontal="center"/>
    </xf>
    <xf numFmtId="0" fontId="20" fillId="3" borderId="41" xfId="0" applyFont="1" applyFill="1" applyBorder="1" applyAlignment="1">
      <alignment horizontal="center"/>
    </xf>
    <xf numFmtId="2" fontId="20" fillId="3" borderId="39" xfId="0" applyNumberFormat="1" applyFont="1" applyFill="1" applyBorder="1" applyAlignment="1">
      <alignment horizontal="center"/>
    </xf>
    <xf numFmtId="2" fontId="20" fillId="3" borderId="42" xfId="0" applyNumberFormat="1" applyFont="1" applyFill="1" applyBorder="1" applyAlignment="1">
      <alignment horizontal="center"/>
    </xf>
    <xf numFmtId="177" fontId="8" fillId="0" borderId="0" xfId="0" applyNumberFormat="1" applyFont="1"/>
    <xf numFmtId="0" fontId="12" fillId="4" borderId="0" xfId="0" applyFont="1" applyFill="1"/>
    <xf numFmtId="0" fontId="12" fillId="4" borderId="0" xfId="0" applyFont="1" applyFill="1" applyAlignment="1">
      <alignment horizontal="left"/>
    </xf>
    <xf numFmtId="4" fontId="8" fillId="4" borderId="32" xfId="0" applyNumberFormat="1" applyFont="1" applyFill="1" applyBorder="1"/>
    <xf numFmtId="164" fontId="10" fillId="4" borderId="29" xfId="0" applyNumberFormat="1" applyFont="1" applyFill="1" applyBorder="1"/>
    <xf numFmtId="167" fontId="18" fillId="24" borderId="0" xfId="2" applyNumberFormat="1" applyFont="1" applyFill="1" applyBorder="1"/>
    <xf numFmtId="167" fontId="18" fillId="24" borderId="29" xfId="2" applyNumberFormat="1" applyFont="1" applyFill="1" applyBorder="1"/>
    <xf numFmtId="164" fontId="25" fillId="0" borderId="53" xfId="0" applyNumberFormat="1" applyFont="1" applyBorder="1" applyAlignment="1">
      <alignment horizontal="center"/>
    </xf>
    <xf numFmtId="0" fontId="27" fillId="26" borderId="26" xfId="0" applyFont="1" applyFill="1" applyBorder="1" applyAlignment="1">
      <alignment horizontal="center"/>
    </xf>
    <xf numFmtId="164" fontId="25" fillId="27" borderId="51" xfId="0" applyNumberFormat="1" applyFont="1" applyFill="1" applyBorder="1" applyAlignment="1">
      <alignment horizontal="center"/>
    </xf>
    <xf numFmtId="9" fontId="19" fillId="0" borderId="0" xfId="2" applyNumberFormat="1" applyFont="1" applyBorder="1"/>
    <xf numFmtId="0" fontId="42" fillId="12" borderId="11" xfId="0" applyFont="1" applyFill="1" applyBorder="1"/>
    <xf numFmtId="0" fontId="40" fillId="12" borderId="12" xfId="0" applyFont="1" applyFill="1" applyBorder="1"/>
    <xf numFmtId="0" fontId="40" fillId="12" borderId="10" xfId="0" applyFont="1" applyFill="1" applyBorder="1"/>
    <xf numFmtId="10" fontId="19" fillId="0" borderId="29" xfId="1" applyNumberFormat="1" applyFont="1" applyBorder="1"/>
    <xf numFmtId="182" fontId="19" fillId="0" borderId="29" xfId="0" applyNumberFormat="1" applyFont="1" applyBorder="1" applyAlignment="1">
      <alignment horizontal="right"/>
    </xf>
    <xf numFmtId="0" fontId="20" fillId="0" borderId="29" xfId="0" applyFont="1" applyBorder="1" applyAlignment="1">
      <alignment horizontal="right"/>
    </xf>
    <xf numFmtId="6" fontId="19" fillId="0" borderId="29" xfId="0" applyNumberFormat="1" applyFont="1" applyBorder="1" applyAlignment="1">
      <alignment horizontal="right"/>
    </xf>
    <xf numFmtId="183" fontId="19" fillId="0" borderId="29" xfId="0" applyNumberFormat="1" applyFont="1" applyBorder="1" applyAlignment="1">
      <alignment horizontal="right"/>
    </xf>
    <xf numFmtId="165" fontId="19" fillId="0" borderId="29" xfId="0" applyNumberFormat="1" applyFont="1" applyBorder="1" applyAlignment="1">
      <alignment horizontal="right"/>
    </xf>
    <xf numFmtId="171" fontId="20" fillId="0" borderId="36" xfId="0" applyNumberFormat="1" applyFont="1" applyBorder="1" applyAlignment="1">
      <alignment horizontal="center"/>
    </xf>
    <xf numFmtId="2" fontId="13" fillId="4" borderId="0" xfId="0" applyNumberFormat="1" applyFont="1" applyFill="1"/>
    <xf numFmtId="44" fontId="42" fillId="21" borderId="7" xfId="0" applyNumberFormat="1" applyFont="1" applyFill="1" applyBorder="1"/>
    <xf numFmtId="9" fontId="42" fillId="21" borderId="7" xfId="0" applyNumberFormat="1" applyFont="1" applyFill="1" applyBorder="1"/>
    <xf numFmtId="9" fontId="42" fillId="21" borderId="32" xfId="0" applyNumberFormat="1" applyFont="1" applyFill="1" applyBorder="1"/>
    <xf numFmtId="2" fontId="25" fillId="0" borderId="59" xfId="0" applyNumberFormat="1" applyFont="1" applyBorder="1" applyAlignment="1">
      <alignment horizontal="center"/>
    </xf>
    <xf numFmtId="184" fontId="13" fillId="4" borderId="0" xfId="0" applyNumberFormat="1" applyFont="1" applyFill="1"/>
    <xf numFmtId="185" fontId="13" fillId="4" borderId="0" xfId="0" applyNumberFormat="1" applyFont="1" applyFill="1"/>
    <xf numFmtId="0" fontId="0" fillId="0" borderId="43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6" xfId="0" applyBorder="1" applyAlignment="1">
      <alignment horizontal="center"/>
    </xf>
    <xf numFmtId="171" fontId="7" fillId="14" borderId="25" xfId="0" applyNumberFormat="1" applyFont="1" applyFill="1" applyBorder="1" applyAlignment="1">
      <alignment horizontal="right"/>
    </xf>
    <xf numFmtId="9" fontId="0" fillId="0" borderId="0" xfId="1" applyFont="1"/>
    <xf numFmtId="10" fontId="20" fillId="0" borderId="0" xfId="1" applyNumberFormat="1" applyFont="1"/>
    <xf numFmtId="0" fontId="19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0" fontId="20" fillId="0" borderId="0" xfId="1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71" fontId="19" fillId="0" borderId="0" xfId="2" applyNumberFormat="1" applyFont="1" applyAlignment="1">
      <alignment horizontal="center"/>
    </xf>
    <xf numFmtId="0" fontId="20" fillId="0" borderId="0" xfId="0" applyFont="1" applyAlignment="1">
      <alignment horizontal="center"/>
    </xf>
    <xf numFmtId="3" fontId="0" fillId="0" borderId="0" xfId="0" applyNumberFormat="1"/>
    <xf numFmtId="169" fontId="1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9" fontId="19" fillId="0" borderId="0" xfId="2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86" fontId="19" fillId="0" borderId="0" xfId="0" applyNumberFormat="1" applyFont="1" applyAlignment="1">
      <alignment horizontal="center"/>
    </xf>
    <xf numFmtId="180" fontId="8" fillId="28" borderId="0" xfId="0" applyNumberFormat="1" applyFont="1" applyFill="1" applyAlignment="1">
      <alignment horizontal="right"/>
    </xf>
    <xf numFmtId="9" fontId="19" fillId="0" borderId="0" xfId="0" applyNumberFormat="1" applyFont="1"/>
    <xf numFmtId="168" fontId="19" fillId="0" borderId="0" xfId="2" applyNumberFormat="1" applyFont="1"/>
    <xf numFmtId="0" fontId="19" fillId="20" borderId="11" xfId="0" applyFont="1" applyFill="1" applyBorder="1"/>
    <xf numFmtId="0" fontId="19" fillId="20" borderId="12" xfId="0" applyFont="1" applyFill="1" applyBorder="1"/>
    <xf numFmtId="0" fontId="19" fillId="20" borderId="10" xfId="0" applyFont="1" applyFill="1" applyBorder="1"/>
    <xf numFmtId="171" fontId="19" fillId="0" borderId="0" xfId="0" applyNumberFormat="1" applyFont="1" applyAlignment="1">
      <alignment horizontal="center"/>
    </xf>
    <xf numFmtId="9" fontId="19" fillId="0" borderId="29" xfId="0" applyNumberFormat="1" applyFont="1" applyBorder="1" applyAlignment="1">
      <alignment horizontal="center"/>
    </xf>
    <xf numFmtId="0" fontId="19" fillId="0" borderId="34" xfId="0" applyFont="1" applyBorder="1"/>
    <xf numFmtId="0" fontId="19" fillId="0" borderId="35" xfId="0" applyFont="1" applyBorder="1"/>
    <xf numFmtId="169" fontId="19" fillId="0" borderId="0" xfId="2" applyNumberFormat="1" applyFont="1"/>
    <xf numFmtId="0" fontId="26" fillId="16" borderId="14" xfId="0" applyFont="1" applyFill="1" applyBorder="1" applyAlignment="1">
      <alignment horizontal="center"/>
    </xf>
    <xf numFmtId="0" fontId="26" fillId="16" borderId="61" xfId="0" applyFont="1" applyFill="1" applyBorder="1" applyAlignment="1">
      <alignment horizontal="center"/>
    </xf>
    <xf numFmtId="0" fontId="26" fillId="16" borderId="15" xfId="0" applyFont="1" applyFill="1" applyBorder="1" applyAlignment="1">
      <alignment horizontal="center"/>
    </xf>
    <xf numFmtId="0" fontId="25" fillId="0" borderId="0" xfId="0" applyFont="1" applyAlignment="1">
      <alignment horizontal="centerContinuous"/>
    </xf>
    <xf numFmtId="0" fontId="20" fillId="25" borderId="34" xfId="0" applyFont="1" applyFill="1" applyBorder="1" applyAlignment="1">
      <alignment horizontal="centerContinuous"/>
    </xf>
    <xf numFmtId="0" fontId="20" fillId="25" borderId="36" xfId="0" applyFont="1" applyFill="1" applyBorder="1" applyAlignment="1">
      <alignment horizontal="centerContinuous"/>
    </xf>
    <xf numFmtId="0" fontId="20" fillId="0" borderId="11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14" fontId="26" fillId="23" borderId="33" xfId="0" applyNumberFormat="1" applyFont="1" applyFill="1" applyBorder="1" applyAlignment="1">
      <alignment horizontal="center"/>
    </xf>
    <xf numFmtId="14" fontId="31" fillId="23" borderId="33" xfId="0" applyNumberFormat="1" applyFont="1" applyFill="1" applyBorder="1" applyAlignment="1">
      <alignment horizontal="center"/>
    </xf>
    <xf numFmtId="0" fontId="19" fillId="19" borderId="9" xfId="0" applyFont="1" applyFill="1" applyBorder="1" applyAlignment="1">
      <alignment horizontal="left"/>
    </xf>
    <xf numFmtId="0" fontId="25" fillId="19" borderId="0" xfId="0" applyFont="1" applyFill="1" applyAlignment="1">
      <alignment horizontal="centerContinuous"/>
    </xf>
    <xf numFmtId="6" fontId="19" fillId="19" borderId="29" xfId="0" applyNumberFormat="1" applyFont="1" applyFill="1" applyBorder="1" applyAlignment="1">
      <alignment horizontal="right"/>
    </xf>
    <xf numFmtId="171" fontId="19" fillId="19" borderId="29" xfId="0" applyNumberFormat="1" applyFont="1" applyFill="1" applyBorder="1" applyAlignment="1">
      <alignment horizontal="right"/>
    </xf>
    <xf numFmtId="0" fontId="20" fillId="19" borderId="34" xfId="0" applyFont="1" applyFill="1" applyBorder="1" applyAlignment="1">
      <alignment horizontal="left"/>
    </xf>
    <xf numFmtId="0" fontId="25" fillId="19" borderId="35" xfId="0" applyFont="1" applyFill="1" applyBorder="1" applyAlignment="1">
      <alignment horizontal="centerContinuous"/>
    </xf>
    <xf numFmtId="171" fontId="20" fillId="19" borderId="36" xfId="0" applyNumberFormat="1" applyFont="1" applyFill="1" applyBorder="1" applyAlignment="1">
      <alignment horizontal="right"/>
    </xf>
    <xf numFmtId="7" fontId="19" fillId="19" borderId="29" xfId="0" applyNumberFormat="1" applyFont="1" applyFill="1" applyBorder="1"/>
    <xf numFmtId="0" fontId="6" fillId="12" borderId="0" xfId="0" applyFont="1" applyFill="1" applyAlignment="1">
      <alignment horizontal="left"/>
    </xf>
    <xf numFmtId="0" fontId="7" fillId="13" borderId="12" xfId="0" applyFont="1" applyFill="1" applyBorder="1" applyAlignment="1">
      <alignment horizontal="center"/>
    </xf>
    <xf numFmtId="0" fontId="35" fillId="12" borderId="12" xfId="0" applyFont="1" applyFill="1" applyBorder="1" applyAlignment="1">
      <alignment horizontal="center"/>
    </xf>
    <xf numFmtId="0" fontId="14" fillId="12" borderId="28" xfId="0" applyFont="1" applyFill="1" applyBorder="1" applyAlignment="1">
      <alignment horizontal="center" vertical="center"/>
    </xf>
    <xf numFmtId="0" fontId="14" fillId="12" borderId="30" xfId="0" applyFont="1" applyFill="1" applyBorder="1" applyAlignment="1">
      <alignment horizontal="center" vertical="center"/>
    </xf>
    <xf numFmtId="0" fontId="7" fillId="1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12" borderId="34" xfId="0" applyFont="1" applyFill="1" applyBorder="1" applyAlignment="1">
      <alignment horizontal="center"/>
    </xf>
    <xf numFmtId="0" fontId="9" fillId="12" borderId="35" xfId="0" applyFont="1" applyFill="1" applyBorder="1" applyAlignment="1">
      <alignment horizontal="center"/>
    </xf>
    <xf numFmtId="0" fontId="14" fillId="12" borderId="35" xfId="0" applyFont="1" applyFill="1" applyBorder="1" applyAlignment="1">
      <alignment horizontal="center"/>
    </xf>
    <xf numFmtId="0" fontId="14" fillId="12" borderId="36" xfId="0" applyFont="1" applyFill="1" applyBorder="1" applyAlignment="1">
      <alignment horizontal="center"/>
    </xf>
    <xf numFmtId="0" fontId="6" fillId="9" borderId="0" xfId="0" applyFont="1" applyFill="1" applyAlignment="1">
      <alignment horizontal="left"/>
    </xf>
    <xf numFmtId="0" fontId="9" fillId="9" borderId="11" xfId="0" applyFont="1" applyFill="1" applyBorder="1" applyAlignment="1">
      <alignment horizontal="center"/>
    </xf>
    <xf numFmtId="0" fontId="9" fillId="9" borderId="12" xfId="0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/>
    </xf>
    <xf numFmtId="0" fontId="9" fillId="9" borderId="28" xfId="0" applyFont="1" applyFill="1" applyBorder="1" applyAlignment="1">
      <alignment horizontal="center" vertical="center"/>
    </xf>
    <xf numFmtId="0" fontId="9" fillId="9" borderId="30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/>
    </xf>
    <xf numFmtId="0" fontId="23" fillId="4" borderId="39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1" fillId="7" borderId="29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20" fillId="7" borderId="38" xfId="0" applyFont="1" applyFill="1" applyBorder="1" applyAlignment="1">
      <alignment horizontal="center"/>
    </xf>
    <xf numFmtId="0" fontId="20" fillId="7" borderId="27" xfId="0" applyFont="1" applyFill="1" applyBorder="1" applyAlignment="1">
      <alignment horizontal="center"/>
    </xf>
    <xf numFmtId="0" fontId="24" fillId="12" borderId="0" xfId="0" applyFont="1" applyFill="1" applyAlignment="1">
      <alignment horizontal="left"/>
    </xf>
    <xf numFmtId="0" fontId="28" fillId="19" borderId="40" xfId="0" applyFont="1" applyFill="1" applyBorder="1" applyAlignment="1">
      <alignment horizontal="left"/>
    </xf>
    <xf numFmtId="0" fontId="28" fillId="19" borderId="51" xfId="0" applyFont="1" applyFill="1" applyBorder="1" applyAlignment="1">
      <alignment horizontal="left"/>
    </xf>
    <xf numFmtId="0" fontId="28" fillId="19" borderId="44" xfId="0" applyFont="1" applyFill="1" applyBorder="1" applyAlignment="1">
      <alignment horizontal="left"/>
    </xf>
    <xf numFmtId="0" fontId="28" fillId="19" borderId="40" xfId="0" applyFont="1" applyFill="1" applyBorder="1" applyAlignment="1">
      <alignment horizontal="center"/>
    </xf>
    <xf numFmtId="0" fontId="28" fillId="19" borderId="33" xfId="0" applyFont="1" applyFill="1" applyBorder="1" applyAlignment="1">
      <alignment horizontal="center"/>
    </xf>
    <xf numFmtId="0" fontId="28" fillId="19" borderId="51" xfId="0" applyFont="1" applyFill="1" applyBorder="1" applyAlignment="1">
      <alignment horizontal="center"/>
    </xf>
    <xf numFmtId="0" fontId="28" fillId="19" borderId="44" xfId="0" applyFont="1" applyFill="1" applyBorder="1" applyAlignment="1">
      <alignment horizontal="center"/>
    </xf>
    <xf numFmtId="0" fontId="22" fillId="16" borderId="40" xfId="0" applyFont="1" applyFill="1" applyBorder="1" applyAlignment="1">
      <alignment horizontal="center"/>
    </xf>
    <xf numFmtId="0" fontId="22" fillId="16" borderId="51" xfId="0" applyFont="1" applyFill="1" applyBorder="1" applyAlignment="1">
      <alignment horizontal="center"/>
    </xf>
    <xf numFmtId="0" fontId="22" fillId="16" borderId="44" xfId="0" applyFont="1" applyFill="1" applyBorder="1" applyAlignment="1">
      <alignment horizontal="center"/>
    </xf>
    <xf numFmtId="0" fontId="22" fillId="23" borderId="40" xfId="0" applyFont="1" applyFill="1" applyBorder="1" applyAlignment="1">
      <alignment horizontal="center"/>
    </xf>
    <xf numFmtId="0" fontId="22" fillId="23" borderId="51" xfId="0" applyFont="1" applyFill="1" applyBorder="1" applyAlignment="1">
      <alignment horizontal="center"/>
    </xf>
    <xf numFmtId="0" fontId="22" fillId="23" borderId="33" xfId="0" applyFont="1" applyFill="1" applyBorder="1" applyAlignment="1">
      <alignment horizontal="center"/>
    </xf>
  </cellXfs>
  <cellStyles count="7">
    <cellStyle name="blp_datetime" xfId="3" xr:uid="{C5920885-40F8-4D93-9391-DB579EC322B3}"/>
    <cellStyle name="Currency" xfId="2" builtinId="4"/>
    <cellStyle name="Currency 2" xfId="4" xr:uid="{D9BE44BB-D947-495F-9070-141EF8D89FE9}"/>
    <cellStyle name="Normal" xfId="0" builtinId="0"/>
    <cellStyle name="Normal 2" xfId="5" xr:uid="{6619BBF1-93DC-4F4A-96DE-E900B52D6BAF}"/>
    <cellStyle name="Percent" xfId="1" builtinId="5"/>
    <cellStyle name="Percent 2" xfId="6" xr:uid="{45757965-5E75-4D4B-8C22-494FB8CA5D7D}"/>
  </cellStyles>
  <dxfs count="0"/>
  <tableStyles count="0" defaultTableStyle="TableStyleMedium2" defaultPivotStyle="PivotStyleLight16"/>
  <colors>
    <mruColors>
      <color rgb="FFFFFFCC"/>
      <color rgb="FFFFCC66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6"/>
              <c:tx>
                <c:rich>
                  <a:bodyPr/>
                  <a:lstStyle/>
                  <a:p>
                    <a:fld id="{3DB855A8-E960-43BB-BF4C-76F94FD0318E}" type="VALUE">
                      <a:rPr lang="en-US" baseline="0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646-4461-B034-B63AB4AD3D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'Target Price Calculation (2)'!$J$4:$P$4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'Target Price Calculation (2)'!$J$5:$P$5</c:f>
              <c:numCache>
                <c:formatCode>_("$"* #,##0_);_("$"* \(#,##0\);_("$"* "-"??_);_(@_)</c:formatCode>
                <c:ptCount val="7"/>
                <c:pt idx="0">
                  <c:v>2633</c:v>
                </c:pt>
                <c:pt idx="1">
                  <c:v>3159.6</c:v>
                </c:pt>
                <c:pt idx="2">
                  <c:v>3728.3279999999995</c:v>
                </c:pt>
                <c:pt idx="3">
                  <c:v>4324.8604799999994</c:v>
                </c:pt>
                <c:pt idx="4">
                  <c:v>4973.5895519999985</c:v>
                </c:pt>
                <c:pt idx="5">
                  <c:v>5669.8920892799988</c:v>
                </c:pt>
                <c:pt idx="6">
                  <c:v>6406.9780608863985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6-4461-B034-B63AB4AD3DB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22688176"/>
        <c:axId val="722686256"/>
      </c:barChart>
      <c:catAx>
        <c:axId val="72268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722686256"/>
        <c:crosses val="autoZero"/>
        <c:auto val="1"/>
        <c:lblAlgn val="ctr"/>
        <c:lblOffset val="100"/>
        <c:noMultiLvlLbl val="0"/>
      </c:catAx>
      <c:valAx>
        <c:axId val="722686256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72268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solidFill>
                <a:schemeClr val="bg2"/>
              </a:solidFill>
              <a:ln>
                <a:solidFill>
                  <a:schemeClr val="bg2"/>
                </a:solidFill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C49-4A7B-A0B1-2269F5FD54B6}"/>
              </c:ext>
            </c:extLst>
          </c:dPt>
          <c:dLbls>
            <c:dLbl>
              <c:idx val="1"/>
              <c:layout>
                <c:manualLayout>
                  <c:x val="0"/>
                  <c:y val="8.97821910077539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cap="small" baseline="0">
                      <a:solidFill>
                        <a:srgbClr val="FF0000"/>
                      </a:solidFill>
                      <a:latin typeface="Times New Roman" panose="0202060305040502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49-4A7B-A0B1-2269F5FD54B6}"/>
                </c:ext>
              </c:extLst>
            </c:dLbl>
            <c:dLbl>
              <c:idx val="2"/>
              <c:layout>
                <c:manualLayout>
                  <c:x val="-2.7943193907063834E-3"/>
                  <c:y val="0.13460948220652702"/>
                </c:manualLayout>
              </c:layout>
              <c:tx>
                <c:rich>
                  <a:bodyPr/>
                  <a:lstStyle/>
                  <a:p>
                    <a:fld id="{C338CFF7-309C-484E-B26C-97192679ED11}" type="VALUE">
                      <a:rPr lang="en-US">
                        <a:solidFill>
                          <a:srgbClr val="FF0000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C49-4A7B-A0B1-2269F5FD54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'Target Price Calculation (2)'!$I$27:$T$27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'Target Price Calculation (2)'!$I$28:$T$28</c:f>
              <c:numCache>
                <c:formatCode>"$"#,##0</c:formatCode>
                <c:ptCount val="12"/>
                <c:pt idx="0">
                  <c:v>11.1</c:v>
                </c:pt>
                <c:pt idx="1">
                  <c:v>-5.3</c:v>
                </c:pt>
                <c:pt idx="2">
                  <c:v>-111.6</c:v>
                </c:pt>
                <c:pt idx="3">
                  <c:v>138.69999999999999</c:v>
                </c:pt>
                <c:pt idx="4">
                  <c:v>272.89999999999998</c:v>
                </c:pt>
                <c:pt idx="5">
                  <c:v>359.3</c:v>
                </c:pt>
                <c:pt idx="6">
                  <c:v>500.34688000000011</c:v>
                </c:pt>
                <c:pt idx="7">
                  <c:v>667.56160000000011</c:v>
                </c:pt>
                <c:pt idx="8">
                  <c:v>865.14559200000031</c:v>
                </c:pt>
                <c:pt idx="9">
                  <c:v>1100.1204033600004</c:v>
                </c:pt>
                <c:pt idx="10">
                  <c:v>1365.1022288904005</c:v>
                </c:pt>
                <c:pt idx="11">
                  <c:v>1615.7568625561448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49-4A7B-A0B1-2269F5FD54B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42970112"/>
        <c:axId val="342968672"/>
      </c:barChart>
      <c:catAx>
        <c:axId val="34297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342968672"/>
        <c:crosses val="autoZero"/>
        <c:auto val="1"/>
        <c:lblAlgn val="ctr"/>
        <c:lblOffset val="100"/>
        <c:noMultiLvlLbl val="0"/>
      </c:catAx>
      <c:valAx>
        <c:axId val="342968672"/>
        <c:scaling>
          <c:orientation val="minMax"/>
        </c:scaling>
        <c:delete val="1"/>
        <c:axPos val="l"/>
        <c:numFmt formatCode="&quot;$&quot;#,##0" sourceLinked="1"/>
        <c:majorTickMark val="none"/>
        <c:minorTickMark val="none"/>
        <c:tickLblPos val="nextTo"/>
        <c:crossAx val="342970112"/>
        <c:crosses val="autoZero"/>
        <c:crossBetween val="between"/>
      </c:valAx>
      <c:spPr>
        <a:noFill/>
        <a:ln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/>
            </a:solidFill>
            <a:ln w="38100">
              <a:solidFill>
                <a:schemeClr val="bg1"/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381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EC16-4940-923C-99E75398E5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'Multiples Valuations'!$R$14:$R$18</c:f>
              <c:numCache>
                <c:formatCode>General</c:formatCode>
                <c:ptCount val="5"/>
              </c:numCache>
            </c:numRef>
          </c:cat>
          <c:val>
            <c:numRef>
              <c:f>'Multiples Valuations'!$S$14:$S$18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D1F-40B6-9ED0-8106049991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7"/>
        <c:axId val="263354960"/>
        <c:axId val="263355920"/>
      </c:barChart>
      <c:catAx>
        <c:axId val="263354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63355920"/>
        <c:crosses val="autoZero"/>
        <c:auto val="1"/>
        <c:lblAlgn val="ctr"/>
        <c:lblOffset val="100"/>
        <c:noMultiLvlLbl val="0"/>
      </c:catAx>
      <c:valAx>
        <c:axId val="263355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6335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263525</xdr:colOff>
      <xdr:row>6</xdr:row>
      <xdr:rowOff>87136</xdr:rowOff>
    </xdr:from>
    <xdr:to>
      <xdr:col>15</xdr:col>
      <xdr:colOff>604661</xdr:colOff>
      <xdr:row>21</xdr:row>
      <xdr:rowOff>61736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C79F6B-984A-4D45-8B43-857A21805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434430</xdr:colOff>
      <xdr:row>29</xdr:row>
      <xdr:rowOff>67514</xdr:rowOff>
    </xdr:from>
    <xdr:to>
      <xdr:col>15</xdr:col>
      <xdr:colOff>688218</xdr:colOff>
      <xdr:row>44</xdr:row>
      <xdr:rowOff>9237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EB5CB0-F656-4A00-9712-4FDD197CA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603306</xdr:colOff>
      <xdr:row>4</xdr:row>
      <xdr:rowOff>41155</xdr:rowOff>
    </xdr:from>
    <xdr:to>
      <xdr:col>26</xdr:col>
      <xdr:colOff>216970</xdr:colOff>
      <xdr:row>18</xdr:row>
      <xdr:rowOff>104472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90D27F7-6BCB-C03E-2AE2-994F878E26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evens/Desktop/SMIF%20DCF%20Models/GETTING%20ONON%20Model%20Ready%20to%20Submit%20on%20Shared%20Version.xlsx" TargetMode="External"/><Relationship Id="rId1" Type="http://schemas.openxmlformats.org/officeDocument/2006/relationships/externalLinkPath" Target="file:///C:/Users/evens/Desktop/SMIF%20DCF%20Models/GETTING%20ONON%20Model%20Ready%20to%20Submit%20on%20Shared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storical Percentages "/>
      <sheetName val="Target Price Calculation"/>
      <sheetName val="Historicals"/>
      <sheetName val="H-Model - Conservative"/>
      <sheetName val="H-Model Realistic"/>
      <sheetName val="EBITDA Multiple Model"/>
      <sheetName val="EBIT Multiple Model "/>
      <sheetName val="Base Data"/>
      <sheetName val="Sort Summary"/>
      <sheetName val="Direct Valuation"/>
      <sheetName val="Indirect Valuation"/>
      <sheetName val="WACC Calculation"/>
    </sheetNames>
    <sheetDataSet>
      <sheetData sheetId="0" refreshError="1"/>
      <sheetData sheetId="1"/>
      <sheetData sheetId="2" refreshError="1"/>
      <sheetData sheetId="3">
        <row r="27">
          <cell r="L27">
            <v>73.607204980053737</v>
          </cell>
        </row>
      </sheetData>
      <sheetData sheetId="4">
        <row r="27">
          <cell r="L27">
            <v>100.22609674801987</v>
          </cell>
        </row>
      </sheetData>
      <sheetData sheetId="5">
        <row r="24">
          <cell r="L24">
            <v>84.50433288338057</v>
          </cell>
        </row>
      </sheetData>
      <sheetData sheetId="6">
        <row r="24">
          <cell r="L24">
            <v>74.035323039607263</v>
          </cell>
        </row>
      </sheetData>
      <sheetData sheetId="7" refreshError="1"/>
      <sheetData sheetId="8" refreshError="1"/>
      <sheetData sheetId="9">
        <row r="20">
          <cell r="K20">
            <v>46.673249999999996</v>
          </cell>
        </row>
      </sheetData>
      <sheetData sheetId="10">
        <row r="21">
          <cell r="F21">
            <v>24.200535776011062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0"/>
  <sheetViews>
    <sheetView zoomScale="57" zoomScaleNormal="63" workbookViewId="0">
      <selection activeCell="K26" sqref="K26"/>
    </sheetView>
  </sheetViews>
  <sheetFormatPr baseColWidth="10" defaultColWidth="8.83203125" defaultRowHeight="15" x14ac:dyDescent="0.2"/>
  <cols>
    <col min="2" max="2" width="36.83203125" customWidth="1"/>
    <col min="3" max="5" width="9.5" bestFit="1" customWidth="1"/>
    <col min="6" max="8" width="10.1640625" bestFit="1" customWidth="1"/>
    <col min="9" max="9" width="9.5" bestFit="1" customWidth="1"/>
  </cols>
  <sheetData>
    <row r="1" spans="2:20" x14ac:dyDescent="0.2">
      <c r="C1" s="3"/>
      <c r="D1" s="3"/>
      <c r="E1" s="3"/>
      <c r="F1" s="3"/>
      <c r="G1" s="3"/>
      <c r="H1" s="3"/>
    </row>
    <row r="2" spans="2:20" x14ac:dyDescent="0.2">
      <c r="B2" s="16" t="s">
        <v>0</v>
      </c>
      <c r="C2" s="8">
        <v>43373</v>
      </c>
      <c r="D2" s="8">
        <v>43738</v>
      </c>
      <c r="E2" s="8">
        <v>44104</v>
      </c>
      <c r="F2" s="8">
        <v>44469</v>
      </c>
      <c r="G2" s="8">
        <v>44834</v>
      </c>
      <c r="H2" s="8">
        <v>45199</v>
      </c>
    </row>
    <row r="3" spans="2:20" s="7" customFormat="1" x14ac:dyDescent="0.2">
      <c r="B3" s="21" t="s">
        <v>1</v>
      </c>
      <c r="C3" s="12">
        <v>827.5</v>
      </c>
      <c r="D3" s="12">
        <v>854.4</v>
      </c>
      <c r="E3" s="12">
        <v>988.3</v>
      </c>
      <c r="F3" s="12">
        <v>1247.0999999999999</v>
      </c>
      <c r="G3" s="12">
        <v>1371.5</v>
      </c>
      <c r="H3" s="12">
        <v>1666.8</v>
      </c>
      <c r="J3" s="14" t="s">
        <v>2</v>
      </c>
    </row>
    <row r="4" spans="2:20" x14ac:dyDescent="0.2">
      <c r="B4" s="22" t="s">
        <v>3</v>
      </c>
      <c r="C4" s="17"/>
      <c r="D4" s="18">
        <f>((D3/C3)-1)</f>
        <v>3.2507552870090661E-2</v>
      </c>
      <c r="E4" s="18">
        <f t="shared" ref="E4:G4" si="0">((E3/D3)-1)</f>
        <v>0.15671816479400746</v>
      </c>
      <c r="F4" s="18">
        <f t="shared" si="0"/>
        <v>0.26186380653647667</v>
      </c>
      <c r="G4" s="18">
        <f t="shared" si="0"/>
        <v>9.9751423302060882E-2</v>
      </c>
      <c r="H4" s="18">
        <f>((H3/G3)-1)</f>
        <v>0.21531170251549403</v>
      </c>
    </row>
    <row r="5" spans="2:20" x14ac:dyDescent="0.2">
      <c r="B5" s="9"/>
      <c r="C5" s="10"/>
      <c r="D5" s="19"/>
      <c r="E5" s="19"/>
      <c r="F5" s="19"/>
      <c r="G5" s="19"/>
      <c r="H5" s="10"/>
    </row>
    <row r="6" spans="2:20" s="6" customFormat="1" x14ac:dyDescent="0.2">
      <c r="B6" s="23" t="s">
        <v>4</v>
      </c>
      <c r="C6" s="11">
        <v>145.69999999999999</v>
      </c>
      <c r="D6" s="11">
        <v>187.8</v>
      </c>
      <c r="E6" s="11">
        <v>194.3</v>
      </c>
      <c r="F6" s="11">
        <v>211.5</v>
      </c>
      <c r="G6" s="11">
        <v>260.3</v>
      </c>
      <c r="H6" s="11">
        <v>324.39999999999998</v>
      </c>
      <c r="J6" s="24" t="s">
        <v>5</v>
      </c>
    </row>
    <row r="7" spans="2:20" x14ac:dyDescent="0.2">
      <c r="B7" s="22" t="s">
        <v>6</v>
      </c>
      <c r="C7" s="20">
        <f>C6/C3</f>
        <v>0.17607250755287007</v>
      </c>
      <c r="D7" s="20">
        <f t="shared" ref="D7:H7" si="1">D6/D3</f>
        <v>0.21980337078651688</v>
      </c>
      <c r="E7" s="20">
        <f t="shared" si="1"/>
        <v>0.19660022260447235</v>
      </c>
      <c r="F7" s="20">
        <f t="shared" si="1"/>
        <v>0.16959345681982199</v>
      </c>
      <c r="G7" s="20">
        <f t="shared" si="1"/>
        <v>0.18979219832300401</v>
      </c>
      <c r="H7" s="20">
        <f t="shared" si="1"/>
        <v>0.19462443004559635</v>
      </c>
    </row>
    <row r="8" spans="2:20" x14ac:dyDescent="0.2">
      <c r="B8" s="9"/>
      <c r="C8" s="10"/>
      <c r="D8" s="10"/>
      <c r="E8" s="10"/>
      <c r="F8" s="10"/>
      <c r="G8" s="10"/>
      <c r="H8" s="10"/>
    </row>
    <row r="9" spans="2:20" x14ac:dyDescent="0.2">
      <c r="B9" s="9" t="s">
        <v>7</v>
      </c>
      <c r="C9" s="10">
        <v>25.9</v>
      </c>
      <c r="D9" s="10">
        <v>25.3</v>
      </c>
      <c r="E9" s="10">
        <v>25.3</v>
      </c>
      <c r="F9" s="10">
        <v>53.7</v>
      </c>
      <c r="G9" s="10">
        <v>21.3</v>
      </c>
      <c r="H9" s="10">
        <v>28.3</v>
      </c>
      <c r="J9" s="2" t="s">
        <v>8</v>
      </c>
    </row>
    <row r="10" spans="2:20" x14ac:dyDescent="0.2">
      <c r="B10" s="9"/>
      <c r="C10" s="10"/>
      <c r="D10" s="10"/>
      <c r="E10" s="10"/>
      <c r="F10" s="10"/>
      <c r="G10" s="10"/>
      <c r="H10" s="10"/>
    </row>
    <row r="11" spans="2:20" s="6" customFormat="1" x14ac:dyDescent="0.2">
      <c r="B11" s="23" t="s">
        <v>9</v>
      </c>
      <c r="C11" s="13">
        <f>C6-C9</f>
        <v>119.79999999999998</v>
      </c>
      <c r="D11" s="13">
        <f>D6-D9</f>
        <v>162.5</v>
      </c>
      <c r="E11" s="13">
        <f>E6-E9</f>
        <v>169</v>
      </c>
      <c r="F11" s="13">
        <f t="shared" ref="F11:H11" si="2">F6-F9</f>
        <v>157.80000000000001</v>
      </c>
      <c r="G11" s="13">
        <f t="shared" si="2"/>
        <v>239</v>
      </c>
      <c r="H11" s="13">
        <f t="shared" si="2"/>
        <v>296.09999999999997</v>
      </c>
    </row>
    <row r="12" spans="2:20" x14ac:dyDescent="0.2">
      <c r="B12" s="22" t="s">
        <v>10</v>
      </c>
      <c r="C12" s="20">
        <f>C11/C3</f>
        <v>0.14477341389728093</v>
      </c>
      <c r="D12" s="20">
        <f t="shared" ref="D12:H12" si="3">D11/D3</f>
        <v>0.19019194756554308</v>
      </c>
      <c r="E12" s="20">
        <f t="shared" si="3"/>
        <v>0.1710007082869574</v>
      </c>
      <c r="F12" s="20">
        <f t="shared" si="3"/>
        <v>0.12653355785422182</v>
      </c>
      <c r="G12" s="20">
        <f t="shared" si="3"/>
        <v>0.17426175720014583</v>
      </c>
      <c r="H12" s="20">
        <f t="shared" si="3"/>
        <v>0.17764578833693304</v>
      </c>
    </row>
    <row r="13" spans="2:20" x14ac:dyDescent="0.2">
      <c r="B13" s="9"/>
      <c r="C13" s="10"/>
      <c r="D13" s="10"/>
      <c r="E13" s="10"/>
      <c r="F13" s="10"/>
      <c r="G13" s="10"/>
      <c r="H13" s="10"/>
      <c r="R13" s="4"/>
    </row>
    <row r="14" spans="2:20" s="6" customFormat="1" x14ac:dyDescent="0.2">
      <c r="B14" s="23" t="s">
        <v>11</v>
      </c>
      <c r="C14" s="11">
        <v>23.7</v>
      </c>
      <c r="D14" s="11">
        <v>39.4</v>
      </c>
      <c r="E14" s="11">
        <v>9.1999999999999993</v>
      </c>
      <c r="F14" s="11">
        <v>23.7</v>
      </c>
      <c r="G14" s="11">
        <v>29.6</v>
      </c>
      <c r="H14" s="11">
        <v>59.4</v>
      </c>
      <c r="J14" s="24" t="s">
        <v>12</v>
      </c>
      <c r="R14" s="15"/>
      <c r="T14" s="15"/>
    </row>
    <row r="15" spans="2:20" x14ac:dyDescent="0.2">
      <c r="B15" s="22" t="s">
        <v>13</v>
      </c>
      <c r="C15" s="20">
        <f>C14/C11</f>
        <v>0.19782971619365611</v>
      </c>
      <c r="D15" s="20">
        <f t="shared" ref="D15:H15" si="4">D14/D11</f>
        <v>0.24246153846153845</v>
      </c>
      <c r="E15" s="20">
        <f t="shared" si="4"/>
        <v>5.4437869822485205E-2</v>
      </c>
      <c r="F15" s="20">
        <f t="shared" si="4"/>
        <v>0.15019011406844104</v>
      </c>
      <c r="G15" s="20">
        <f t="shared" si="4"/>
        <v>0.12384937238493725</v>
      </c>
      <c r="H15" s="20">
        <f t="shared" si="4"/>
        <v>0.20060790273556234</v>
      </c>
      <c r="J15" s="2" t="s">
        <v>14</v>
      </c>
      <c r="R15" s="6"/>
      <c r="T15" s="6"/>
    </row>
    <row r="16" spans="2:20" x14ac:dyDescent="0.2">
      <c r="B16" s="9"/>
      <c r="C16" s="10"/>
      <c r="D16" s="10"/>
      <c r="E16" s="10"/>
      <c r="F16" s="10"/>
      <c r="G16" s="10"/>
      <c r="H16" s="10"/>
      <c r="R16" s="7"/>
      <c r="T16" s="7"/>
    </row>
    <row r="17" spans="2:20" s="6" customFormat="1" x14ac:dyDescent="0.2">
      <c r="B17" s="23" t="s">
        <v>15</v>
      </c>
      <c r="C17" s="13">
        <f>C11-C14</f>
        <v>96.09999999999998</v>
      </c>
      <c r="D17" s="13">
        <f t="shared" ref="D17:H17" si="5">D11-D14</f>
        <v>123.1</v>
      </c>
      <c r="E17" s="13">
        <f t="shared" si="5"/>
        <v>159.80000000000001</v>
      </c>
      <c r="F17" s="13">
        <f t="shared" si="5"/>
        <v>134.10000000000002</v>
      </c>
      <c r="G17" s="13">
        <f t="shared" si="5"/>
        <v>209.4</v>
      </c>
      <c r="H17" s="13">
        <f t="shared" si="5"/>
        <v>236.69999999999996</v>
      </c>
    </row>
    <row r="18" spans="2:20" x14ac:dyDescent="0.2">
      <c r="B18" s="9"/>
      <c r="C18" s="10"/>
      <c r="D18" s="10"/>
      <c r="E18" s="10"/>
      <c r="F18" s="10"/>
      <c r="G18" s="10"/>
      <c r="H18" s="10"/>
      <c r="R18" s="6"/>
      <c r="T18" s="6"/>
    </row>
    <row r="19" spans="2:20" s="6" customFormat="1" x14ac:dyDescent="0.2">
      <c r="B19" s="23" t="s">
        <v>16</v>
      </c>
      <c r="C19" s="13">
        <f>C9</f>
        <v>25.9</v>
      </c>
      <c r="D19" s="13">
        <f t="shared" ref="D19:H19" si="6">D9</f>
        <v>25.3</v>
      </c>
      <c r="E19" s="13">
        <f>E9</f>
        <v>25.3</v>
      </c>
      <c r="F19" s="13">
        <f>F9</f>
        <v>53.7</v>
      </c>
      <c r="G19" s="13">
        <f>G9</f>
        <v>21.3</v>
      </c>
      <c r="H19" s="13">
        <f t="shared" si="6"/>
        <v>28.3</v>
      </c>
    </row>
    <row r="20" spans="2:20" x14ac:dyDescent="0.2">
      <c r="B20" s="22" t="s">
        <v>17</v>
      </c>
      <c r="C20" s="20">
        <f t="shared" ref="C20:H20" si="7">C9/C3</f>
        <v>3.1299093655589125E-2</v>
      </c>
      <c r="D20" s="20">
        <f t="shared" si="7"/>
        <v>2.9611423220973786E-2</v>
      </c>
      <c r="E20" s="20">
        <f t="shared" si="7"/>
        <v>2.5599514317514928E-2</v>
      </c>
      <c r="F20" s="20">
        <f t="shared" si="7"/>
        <v>4.3059898965600196E-2</v>
      </c>
      <c r="G20" s="20">
        <f t="shared" si="7"/>
        <v>1.5530441122858184E-2</v>
      </c>
      <c r="H20" s="20">
        <f t="shared" si="7"/>
        <v>1.6978641708663308E-2</v>
      </c>
      <c r="J20" s="1"/>
      <c r="K20" s="1"/>
      <c r="R20" s="5"/>
      <c r="T20" s="6"/>
    </row>
    <row r="21" spans="2:20" x14ac:dyDescent="0.2">
      <c r="B21" s="9"/>
      <c r="C21" s="10"/>
      <c r="D21" s="10"/>
      <c r="E21" s="10"/>
      <c r="F21" s="10"/>
      <c r="G21" s="10"/>
      <c r="H21" s="10"/>
      <c r="J21" s="1"/>
      <c r="T21" s="6"/>
    </row>
    <row r="22" spans="2:20" s="6" customFormat="1" x14ac:dyDescent="0.2">
      <c r="B22" s="23" t="s">
        <v>18</v>
      </c>
      <c r="C22" s="11">
        <v>-5</v>
      </c>
      <c r="D22" s="11">
        <v>-3.2</v>
      </c>
      <c r="E22" s="11">
        <v>-2.1</v>
      </c>
      <c r="F22" s="11">
        <v>-1.6</v>
      </c>
      <c r="G22" s="11">
        <v>-1.8</v>
      </c>
      <c r="H22" s="11">
        <v>-1.8</v>
      </c>
    </row>
    <row r="23" spans="2:20" x14ac:dyDescent="0.2">
      <c r="B23" s="22" t="s">
        <v>19</v>
      </c>
      <c r="C23" s="20">
        <f t="shared" ref="C23:H23" si="8">C22/C3</f>
        <v>-6.0422960725075529E-3</v>
      </c>
      <c r="D23" s="20">
        <f t="shared" si="8"/>
        <v>-3.7453183520599256E-3</v>
      </c>
      <c r="E23" s="20">
        <f t="shared" si="8"/>
        <v>-2.1248608722047964E-3</v>
      </c>
      <c r="F23" s="20">
        <f t="shared" si="8"/>
        <v>-1.2829765054927433E-3</v>
      </c>
      <c r="G23" s="20">
        <f t="shared" si="8"/>
        <v>-1.3124316441851986E-3</v>
      </c>
      <c r="H23" s="20">
        <f t="shared" si="8"/>
        <v>-1.0799136069114472E-3</v>
      </c>
    </row>
    <row r="24" spans="2:20" x14ac:dyDescent="0.2">
      <c r="B24" s="9"/>
      <c r="C24" s="10"/>
      <c r="D24" s="10"/>
      <c r="E24" s="10"/>
      <c r="F24" s="10"/>
      <c r="G24" s="10"/>
      <c r="H24" s="10"/>
      <c r="I24" s="6"/>
    </row>
    <row r="25" spans="2:20" s="6" customFormat="1" x14ac:dyDescent="0.2">
      <c r="B25" s="23" t="s">
        <v>20</v>
      </c>
      <c r="C25" s="11">
        <v>22.5</v>
      </c>
      <c r="D25" s="11">
        <v>-64.2</v>
      </c>
      <c r="E25" s="11">
        <v>-38</v>
      </c>
      <c r="F25" s="11">
        <v>47.8</v>
      </c>
      <c r="G25" s="11">
        <v>-143.19999999999999</v>
      </c>
      <c r="H25" s="11">
        <v>14.2</v>
      </c>
      <c r="J25" s="6" t="s">
        <v>21</v>
      </c>
    </row>
    <row r="26" spans="2:20" x14ac:dyDescent="0.2">
      <c r="B26" s="22" t="s">
        <v>22</v>
      </c>
      <c r="C26" s="20">
        <f t="shared" ref="C26:H26" si="9">C25/C3</f>
        <v>2.7190332326283987E-2</v>
      </c>
      <c r="D26" s="20">
        <f t="shared" si="9"/>
        <v>-7.514044943820225E-2</v>
      </c>
      <c r="E26" s="20">
        <f t="shared" si="9"/>
        <v>-3.8449863401801072E-2</v>
      </c>
      <c r="F26" s="20">
        <f t="shared" si="9"/>
        <v>3.8328923101595705E-2</v>
      </c>
      <c r="G26" s="20">
        <f t="shared" si="9"/>
        <v>-0.10441122858184469</v>
      </c>
      <c r="H26" s="20">
        <f t="shared" si="9"/>
        <v>8.5193184545236372E-3</v>
      </c>
      <c r="I26" s="1"/>
      <c r="J26" s="1" t="s">
        <v>23</v>
      </c>
      <c r="K26" s="1">
        <f>AVERAGE(C26:H26)</f>
        <v>-2.3993827923240781E-2</v>
      </c>
    </row>
    <row r="27" spans="2:20" x14ac:dyDescent="0.2">
      <c r="B27" s="9"/>
      <c r="C27" s="10"/>
      <c r="D27" s="10"/>
      <c r="E27" s="10"/>
      <c r="F27" s="10"/>
      <c r="G27" s="10"/>
      <c r="H27" s="10"/>
    </row>
    <row r="28" spans="2:20" x14ac:dyDescent="0.2">
      <c r="B28" s="9"/>
      <c r="C28" s="10"/>
      <c r="D28" s="10"/>
      <c r="E28" s="10"/>
      <c r="F28" s="10"/>
      <c r="G28" s="10"/>
      <c r="H28" s="10"/>
    </row>
    <row r="29" spans="2:20" s="6" customFormat="1" x14ac:dyDescent="0.2">
      <c r="B29" s="23" t="s">
        <v>24</v>
      </c>
      <c r="C29" s="11"/>
      <c r="D29" s="11"/>
      <c r="E29" s="11">
        <v>2.5</v>
      </c>
      <c r="F29" s="11">
        <v>4.5999999999999996</v>
      </c>
      <c r="G29" s="11">
        <v>9.8000000000000007</v>
      </c>
      <c r="H29" s="11">
        <v>14.2</v>
      </c>
      <c r="J29" s="6" t="s">
        <v>25</v>
      </c>
    </row>
    <row r="30" spans="2:20" x14ac:dyDescent="0.2">
      <c r="B30" s="22" t="s">
        <v>26</v>
      </c>
      <c r="C30" s="17">
        <f t="shared" ref="C30:H30" si="10">C29/C3</f>
        <v>0</v>
      </c>
      <c r="D30" s="17">
        <f t="shared" si="10"/>
        <v>0</v>
      </c>
      <c r="E30" s="17">
        <f t="shared" si="10"/>
        <v>2.5295962764342811E-3</v>
      </c>
      <c r="F30" s="17">
        <f t="shared" si="10"/>
        <v>3.6885574532916367E-3</v>
      </c>
      <c r="G30" s="17">
        <f t="shared" si="10"/>
        <v>7.1454611738971932E-3</v>
      </c>
      <c r="H30" s="17">
        <f t="shared" si="10"/>
        <v>8.5193184545236372E-3</v>
      </c>
    </row>
  </sheetData>
  <printOptions headings="1" gridLines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1301E-62B4-4888-B54B-C2FCA256270F}">
  <sheetPr>
    <tabColor rgb="FFFFFF00"/>
  </sheetPr>
  <dimension ref="B1:W28"/>
  <sheetViews>
    <sheetView showGridLines="0" topLeftCell="A2" zoomScale="120" zoomScaleNormal="120" workbookViewId="0">
      <selection activeCell="K26" sqref="K26"/>
    </sheetView>
  </sheetViews>
  <sheetFormatPr baseColWidth="10" defaultColWidth="8.83203125" defaultRowHeight="15" x14ac:dyDescent="0.2"/>
  <cols>
    <col min="2" max="2" width="17.5" customWidth="1"/>
    <col min="3" max="3" width="13.5" customWidth="1"/>
    <col min="4" max="4" width="10.5" bestFit="1" customWidth="1"/>
    <col min="5" max="5" width="10.5" customWidth="1"/>
    <col min="9" max="9" width="8.83203125" bestFit="1" customWidth="1"/>
    <col min="10" max="14" width="10.1640625" bestFit="1" customWidth="1"/>
    <col min="15" max="16" width="10.33203125" bestFit="1" customWidth="1"/>
    <col min="17" max="17" width="8.83203125" bestFit="1" customWidth="1"/>
    <col min="18" max="20" width="10.33203125" bestFit="1" customWidth="1"/>
  </cols>
  <sheetData>
    <row r="1" spans="2:23" ht="45" x14ac:dyDescent="0.45">
      <c r="B1" s="460" t="s">
        <v>27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</row>
    <row r="2" spans="2:23" ht="16" thickBot="1" x14ac:dyDescent="0.25"/>
    <row r="3" spans="2:23" ht="16" thickBot="1" x14ac:dyDescent="0.25">
      <c r="B3" s="394" t="s">
        <v>28</v>
      </c>
      <c r="C3" s="395"/>
      <c r="D3" s="395"/>
      <c r="E3" s="395"/>
      <c r="F3" s="396"/>
      <c r="G3" s="187" t="s">
        <v>29</v>
      </c>
    </row>
    <row r="4" spans="2:23" x14ac:dyDescent="0.2">
      <c r="B4" s="367" t="s">
        <v>30</v>
      </c>
      <c r="C4" s="363"/>
      <c r="D4" s="369" t="s">
        <v>31</v>
      </c>
      <c r="E4" s="369" t="s">
        <v>32</v>
      </c>
      <c r="F4" s="371" t="s">
        <v>33</v>
      </c>
      <c r="G4" s="370">
        <v>48.32</v>
      </c>
      <c r="J4" s="187">
        <v>2024</v>
      </c>
      <c r="K4" s="187">
        <v>2025</v>
      </c>
      <c r="L4" s="187">
        <v>2026</v>
      </c>
      <c r="M4" s="187">
        <v>2027</v>
      </c>
      <c r="N4" s="187">
        <v>2028</v>
      </c>
      <c r="O4" s="187">
        <v>2029</v>
      </c>
      <c r="P4" s="187">
        <v>2030</v>
      </c>
    </row>
    <row r="5" spans="2:23" x14ac:dyDescent="0.2">
      <c r="B5" s="364"/>
      <c r="C5" s="187" t="s">
        <v>34</v>
      </c>
      <c r="D5" s="370">
        <f>'[1]Direct Valuation'!K20</f>
        <v>46.673249999999996</v>
      </c>
      <c r="E5" s="432">
        <v>0.1</v>
      </c>
      <c r="F5" s="397">
        <f>(D5-$G$4)/$G$4</f>
        <v>-3.4080091059602739E-2</v>
      </c>
      <c r="G5" s="372"/>
      <c r="J5" s="433">
        <v>2633</v>
      </c>
      <c r="K5" s="433">
        <v>3159.6</v>
      </c>
      <c r="L5" s="433">
        <v>3728.3279999999995</v>
      </c>
      <c r="M5" s="433">
        <v>4324.8604799999994</v>
      </c>
      <c r="N5" s="433">
        <v>4973.5895519999985</v>
      </c>
      <c r="O5" s="433">
        <v>5669.8920892799988</v>
      </c>
      <c r="P5" s="433">
        <v>6406.9780608863985</v>
      </c>
    </row>
    <row r="6" spans="2:23" x14ac:dyDescent="0.2">
      <c r="B6" s="365"/>
      <c r="C6" s="187" t="s">
        <v>35</v>
      </c>
      <c r="D6" s="373">
        <f>'[1]Indirect Valuation'!F21</f>
        <v>24.200535776011062</v>
      </c>
      <c r="E6" s="393">
        <v>0.1</v>
      </c>
      <c r="F6" s="397">
        <f t="shared" ref="F6:F12" si="0">(D6-$G$4)/$G$4</f>
        <v>-0.49916109735076447</v>
      </c>
      <c r="G6" s="187"/>
    </row>
    <row r="7" spans="2:23" x14ac:dyDescent="0.2">
      <c r="B7" s="368" t="s">
        <v>36</v>
      </c>
      <c r="D7" s="370"/>
      <c r="E7" s="370"/>
      <c r="F7" s="397"/>
      <c r="G7" s="187"/>
    </row>
    <row r="8" spans="2:23" x14ac:dyDescent="0.2">
      <c r="B8" s="365"/>
      <c r="C8" s="187" t="s">
        <v>37</v>
      </c>
      <c r="D8" s="373">
        <f>'[1]H-Model - Conservative'!L27</f>
        <v>73.607204980053737</v>
      </c>
      <c r="E8" s="373"/>
      <c r="F8" s="397">
        <f t="shared" si="0"/>
        <v>0.52332791763356246</v>
      </c>
      <c r="G8" s="187"/>
      <c r="H8" s="187" t="s">
        <v>203</v>
      </c>
    </row>
    <row r="9" spans="2:23" x14ac:dyDescent="0.2">
      <c r="B9" s="365"/>
      <c r="C9" s="187" t="s">
        <v>38</v>
      </c>
      <c r="D9" s="373">
        <f>'[1]H-Model Realistic'!L27</f>
        <v>100.22609674801987</v>
      </c>
      <c r="E9" s="393">
        <v>0.8</v>
      </c>
      <c r="F9" s="397">
        <f t="shared" si="0"/>
        <v>1.0742155783944509</v>
      </c>
      <c r="G9" s="187"/>
      <c r="H9" s="375">
        <f>(P5/J5)^(1/6)-1</f>
        <v>0.15975716147784236</v>
      </c>
    </row>
    <row r="10" spans="2:23" x14ac:dyDescent="0.2">
      <c r="B10" s="365"/>
      <c r="C10" s="187" t="s">
        <v>39</v>
      </c>
      <c r="D10" s="373">
        <f>'[1]EBIT Multiple Model '!L24</f>
        <v>74.035323039607263</v>
      </c>
      <c r="E10" s="373"/>
      <c r="F10" s="397">
        <f>(D10-$G$4)/$G$4</f>
        <v>0.53218797681306418</v>
      </c>
      <c r="G10" s="187"/>
    </row>
    <row r="11" spans="2:23" x14ac:dyDescent="0.2">
      <c r="B11" s="365"/>
      <c r="C11" s="187" t="s">
        <v>40</v>
      </c>
      <c r="D11" s="373">
        <f>'[1]EBITDA Multiple Model'!L24</f>
        <v>84.50433288338057</v>
      </c>
      <c r="E11" s="373"/>
      <c r="F11" s="397">
        <f t="shared" si="0"/>
        <v>0.74884794874545879</v>
      </c>
      <c r="G11" s="187"/>
    </row>
    <row r="12" spans="2:23" ht="16" thickBot="1" x14ac:dyDescent="0.25">
      <c r="B12" s="374" t="s">
        <v>41</v>
      </c>
      <c r="C12" s="366"/>
      <c r="D12" s="405">
        <f>(D9*E9)+(D5*E5)+(D6*E6)</f>
        <v>87.268255976017016</v>
      </c>
      <c r="E12" s="406">
        <v>1</v>
      </c>
      <c r="F12" s="407">
        <f t="shared" si="0"/>
        <v>0.80604834387452429</v>
      </c>
      <c r="G12" s="187"/>
    </row>
    <row r="13" spans="2:23" x14ac:dyDescent="0.2">
      <c r="D13" s="187"/>
      <c r="E13" s="187"/>
      <c r="F13" s="187"/>
      <c r="G13" s="187"/>
    </row>
    <row r="15" spans="2:23" x14ac:dyDescent="0.2">
      <c r="B15" s="2"/>
    </row>
    <row r="23" spans="2:20" ht="16" thickBot="1" x14ac:dyDescent="0.25">
      <c r="B23" s="2"/>
    </row>
    <row r="24" spans="2:20" x14ac:dyDescent="0.2">
      <c r="B24" s="434" t="s">
        <v>28</v>
      </c>
      <c r="C24" s="435"/>
      <c r="D24" s="436" t="s">
        <v>204</v>
      </c>
    </row>
    <row r="25" spans="2:20" x14ac:dyDescent="0.2">
      <c r="B25" s="364" t="s">
        <v>205</v>
      </c>
      <c r="C25" s="437">
        <f>D9</f>
        <v>100.22609674801987</v>
      </c>
      <c r="D25" s="438">
        <f>E9</f>
        <v>0.8</v>
      </c>
    </row>
    <row r="26" spans="2:20" x14ac:dyDescent="0.2">
      <c r="B26" s="364" t="s">
        <v>206</v>
      </c>
      <c r="C26" s="437">
        <f>D5</f>
        <v>46.673249999999996</v>
      </c>
      <c r="D26" s="438">
        <f>E5</f>
        <v>0.1</v>
      </c>
    </row>
    <row r="27" spans="2:20" ht="16" thickBot="1" x14ac:dyDescent="0.25">
      <c r="B27" s="364" t="s">
        <v>207</v>
      </c>
      <c r="C27" s="437">
        <f>D6</f>
        <v>24.200535776011062</v>
      </c>
      <c r="D27" s="438">
        <f>E6</f>
        <v>0.1</v>
      </c>
      <c r="I27" s="187">
        <v>2019</v>
      </c>
      <c r="J27" s="187">
        <v>2020</v>
      </c>
      <c r="K27" s="187">
        <v>2021</v>
      </c>
      <c r="L27" s="187">
        <v>2022</v>
      </c>
      <c r="M27" s="187">
        <v>2023</v>
      </c>
      <c r="N27" s="187">
        <v>2024</v>
      </c>
      <c r="O27" s="187">
        <v>2025</v>
      </c>
      <c r="P27" s="187">
        <v>2026</v>
      </c>
      <c r="Q27" s="187">
        <v>2027</v>
      </c>
      <c r="R27" s="187">
        <v>2028</v>
      </c>
      <c r="S27" s="187">
        <v>2029</v>
      </c>
      <c r="T27" s="187">
        <v>2030</v>
      </c>
    </row>
    <row r="28" spans="2:20" ht="16" thickBot="1" x14ac:dyDescent="0.25">
      <c r="B28" s="439" t="s">
        <v>55</v>
      </c>
      <c r="C28" s="440"/>
      <c r="D28" s="403">
        <f>D12</f>
        <v>87.268255976017016</v>
      </c>
      <c r="I28" s="441">
        <v>11.1</v>
      </c>
      <c r="J28" s="441">
        <v>-5.3</v>
      </c>
      <c r="K28" s="441">
        <v>-111.6</v>
      </c>
      <c r="L28" s="441">
        <v>138.69999999999999</v>
      </c>
      <c r="M28" s="441">
        <v>272.89999999999998</v>
      </c>
      <c r="N28" s="441">
        <v>359.3</v>
      </c>
      <c r="O28" s="441">
        <v>500.34688000000011</v>
      </c>
      <c r="P28" s="441">
        <v>667.56160000000011</v>
      </c>
      <c r="Q28" s="441">
        <v>865.14559200000031</v>
      </c>
      <c r="R28" s="441">
        <v>1100.1204033600004</v>
      </c>
      <c r="S28" s="441">
        <v>1365.1022288904005</v>
      </c>
      <c r="T28" s="441">
        <v>1615.7568625561448</v>
      </c>
    </row>
  </sheetData>
  <mergeCells count="1">
    <mergeCell ref="B1:W1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FB972-08B0-4768-AB68-D89C7F189AD5}">
  <sheetPr>
    <tabColor rgb="FF002060"/>
  </sheetPr>
  <dimension ref="B1:W36"/>
  <sheetViews>
    <sheetView showGridLines="0" zoomScale="112" zoomScaleNormal="85" workbookViewId="0">
      <selection activeCell="K26" sqref="K26"/>
    </sheetView>
  </sheetViews>
  <sheetFormatPr baseColWidth="10" defaultColWidth="8.83203125" defaultRowHeight="15" x14ac:dyDescent="0.2"/>
  <cols>
    <col min="2" max="2" width="33" customWidth="1"/>
    <col min="3" max="3" width="15.83203125" bestFit="1" customWidth="1"/>
    <col min="4" max="4" width="14.5" bestFit="1" customWidth="1"/>
    <col min="5" max="5" width="12.1640625" customWidth="1"/>
    <col min="9" max="9" width="8.83203125" bestFit="1" customWidth="1"/>
    <col min="10" max="14" width="10.1640625" bestFit="1" customWidth="1"/>
    <col min="15" max="16" width="10.33203125" bestFit="1" customWidth="1"/>
    <col min="17" max="17" width="8.83203125" bestFit="1" customWidth="1"/>
    <col min="18" max="20" width="10.33203125" bestFit="1" customWidth="1"/>
  </cols>
  <sheetData>
    <row r="1" spans="2:23" ht="45" x14ac:dyDescent="0.45">
      <c r="B1" s="460" t="s">
        <v>27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</row>
    <row r="2" spans="2:23" ht="16" thickBot="1" x14ac:dyDescent="0.25"/>
    <row r="3" spans="2:23" ht="16" thickBot="1" x14ac:dyDescent="0.25">
      <c r="B3" s="394" t="s">
        <v>28</v>
      </c>
      <c r="C3" s="395"/>
      <c r="D3" s="395"/>
      <c r="E3" s="395"/>
      <c r="F3" s="396"/>
      <c r="G3" s="187" t="s">
        <v>29</v>
      </c>
    </row>
    <row r="4" spans="2:23" x14ac:dyDescent="0.2">
      <c r="B4" s="367" t="s">
        <v>30</v>
      </c>
      <c r="C4" s="363"/>
      <c r="D4" s="369" t="s">
        <v>31</v>
      </c>
      <c r="E4" s="369" t="s">
        <v>32</v>
      </c>
      <c r="F4" s="371" t="s">
        <v>33</v>
      </c>
      <c r="G4" s="370">
        <v>48.32</v>
      </c>
    </row>
    <row r="5" spans="2:23" x14ac:dyDescent="0.2">
      <c r="B5" s="364"/>
      <c r="C5" s="187" t="s">
        <v>34</v>
      </c>
      <c r="D5" s="370">
        <f>'Multiples Valuations'!K20</f>
        <v>46.673249999999996</v>
      </c>
      <c r="E5" s="432">
        <v>0.1</v>
      </c>
      <c r="F5" s="397">
        <f>(D5-$G$4)/$G$4</f>
        <v>-3.4080091059602739E-2</v>
      </c>
      <c r="G5" s="372"/>
    </row>
    <row r="6" spans="2:23" x14ac:dyDescent="0.2">
      <c r="B6" s="365"/>
      <c r="C6" s="187" t="s">
        <v>35</v>
      </c>
      <c r="D6" s="373">
        <f>'Multiples Valuations'!F44</f>
        <v>24.200535776011062</v>
      </c>
      <c r="E6" s="393">
        <v>0.1</v>
      </c>
      <c r="F6" s="397">
        <f t="shared" ref="F6:F12" si="0">(D6-$G$4)/$G$4</f>
        <v>-0.49916109735076447</v>
      </c>
      <c r="G6" s="187"/>
    </row>
    <row r="7" spans="2:23" x14ac:dyDescent="0.2">
      <c r="B7" s="368" t="s">
        <v>36</v>
      </c>
      <c r="D7" s="370"/>
      <c r="E7" s="370"/>
      <c r="F7" s="397"/>
      <c r="G7" s="187"/>
    </row>
    <row r="8" spans="2:23" x14ac:dyDescent="0.2">
      <c r="B8" s="365"/>
      <c r="C8" s="187" t="s">
        <v>37</v>
      </c>
      <c r="D8" s="373">
        <f>'H-Model - Conservative'!L27</f>
        <v>74.636682622869856</v>
      </c>
      <c r="E8" s="373"/>
      <c r="F8" s="397">
        <f t="shared" si="0"/>
        <v>0.54463333242694234</v>
      </c>
      <c r="G8" s="187"/>
      <c r="H8" s="187"/>
    </row>
    <row r="9" spans="2:23" x14ac:dyDescent="0.2">
      <c r="B9" s="365"/>
      <c r="C9" s="187" t="s">
        <v>38</v>
      </c>
      <c r="D9" s="373">
        <f>'H-Model Realistic'!L27</f>
        <v>77.707207297363809</v>
      </c>
      <c r="E9" s="393">
        <v>0.8</v>
      </c>
      <c r="F9" s="397">
        <f>(D9-$G$4)/$G$4</f>
        <v>0.60817895896862184</v>
      </c>
      <c r="G9" s="187"/>
      <c r="H9" s="375"/>
    </row>
    <row r="10" spans="2:23" x14ac:dyDescent="0.2">
      <c r="B10" s="365"/>
      <c r="C10" s="187" t="s">
        <v>39</v>
      </c>
      <c r="D10" s="373">
        <f>'EBIT Multiple Model '!L24</f>
        <v>89.714339560754922</v>
      </c>
      <c r="E10" s="373"/>
      <c r="F10" s="397">
        <f>(D10-$G$4)/$G$4</f>
        <v>0.85667093461827237</v>
      </c>
      <c r="G10" s="187"/>
    </row>
    <row r="11" spans="2:23" x14ac:dyDescent="0.2">
      <c r="B11" s="365"/>
      <c r="C11" s="187" t="s">
        <v>40</v>
      </c>
      <c r="D11" s="373">
        <f>'EBITDA Multiple Model - Bear'!L24</f>
        <v>59.272751397878949</v>
      </c>
      <c r="E11" s="373"/>
      <c r="F11" s="397">
        <f t="shared" si="0"/>
        <v>0.22667117959186567</v>
      </c>
      <c r="G11" s="187"/>
    </row>
    <row r="12" spans="2:23" ht="16" thickBot="1" x14ac:dyDescent="0.25">
      <c r="B12" s="374" t="s">
        <v>41</v>
      </c>
      <c r="C12" s="366"/>
      <c r="D12" s="405">
        <f>(D9*E9)+(D5*E5)+(D6*E6)</f>
        <v>69.253144415492159</v>
      </c>
      <c r="E12" s="406">
        <v>1</v>
      </c>
      <c r="F12" s="407">
        <f t="shared" si="0"/>
        <v>0.43321904833386088</v>
      </c>
      <c r="G12" s="187"/>
    </row>
    <row r="13" spans="2:23" x14ac:dyDescent="0.2">
      <c r="D13" s="187"/>
      <c r="E13" s="187"/>
      <c r="F13" s="187"/>
      <c r="G13" s="187"/>
    </row>
    <row r="14" spans="2:23" x14ac:dyDescent="0.2">
      <c r="B14" s="422" t="s">
        <v>42</v>
      </c>
      <c r="C14" s="418"/>
      <c r="D14" s="418"/>
      <c r="E14" s="418"/>
    </row>
    <row r="15" spans="2:23" x14ac:dyDescent="0.2">
      <c r="B15" s="419"/>
      <c r="C15" s="424">
        <v>2024</v>
      </c>
      <c r="D15" s="424">
        <v>2023</v>
      </c>
      <c r="E15" s="424">
        <v>2022</v>
      </c>
      <c r="G15">
        <v>1.1299999999999999</v>
      </c>
    </row>
    <row r="16" spans="2:23" x14ac:dyDescent="0.2">
      <c r="B16" s="421" t="s">
        <v>43</v>
      </c>
      <c r="C16" s="423">
        <f>9.6*$G$15</f>
        <v>10.847999999999999</v>
      </c>
      <c r="D16" s="423">
        <f>8.9*G15</f>
        <v>10.056999999999999</v>
      </c>
      <c r="E16" s="423">
        <f>8.2*G15</f>
        <v>9.2659999999999982</v>
      </c>
      <c r="I16" s="423">
        <v>10.847999999999999</v>
      </c>
      <c r="J16" s="423">
        <v>10.056999999999999</v>
      </c>
      <c r="K16" s="423">
        <v>9.2659999999999982</v>
      </c>
    </row>
    <row r="17" spans="2:12" x14ac:dyDescent="0.2">
      <c r="B17" s="421" t="s">
        <v>44</v>
      </c>
      <c r="C17" s="428">
        <v>2633</v>
      </c>
      <c r="D17" s="428">
        <v>1995.5</v>
      </c>
      <c r="E17" s="428">
        <v>1280.5999999999999</v>
      </c>
      <c r="I17" s="423">
        <v>2633</v>
      </c>
      <c r="J17" s="423">
        <v>1995.5</v>
      </c>
      <c r="K17" s="423">
        <v>1280.5999999999999</v>
      </c>
    </row>
    <row r="18" spans="2:12" x14ac:dyDescent="0.2">
      <c r="B18" s="421" t="s">
        <v>45</v>
      </c>
      <c r="C18" s="420">
        <f>C16/C17</f>
        <v>4.1200151917964297E-3</v>
      </c>
      <c r="D18" s="420">
        <f t="shared" ref="D18:E18" si="1">D16/D17</f>
        <v>5.0398396391881728E-3</v>
      </c>
      <c r="E18" s="420">
        <f t="shared" si="1"/>
        <v>7.2356707793221915E-3</v>
      </c>
      <c r="I18" s="417">
        <f>I16/I17</f>
        <v>4.1200151917964297E-3</v>
      </c>
      <c r="J18" s="417">
        <f t="shared" ref="J18:K18" si="2">J16/J17</f>
        <v>5.0398396391881728E-3</v>
      </c>
      <c r="K18" s="417">
        <f t="shared" si="2"/>
        <v>7.2356707793221915E-3</v>
      </c>
    </row>
    <row r="20" spans="2:12" x14ac:dyDescent="0.2">
      <c r="B20" s="422" t="s">
        <v>46</v>
      </c>
      <c r="I20" s="421" t="s">
        <v>47</v>
      </c>
    </row>
    <row r="21" spans="2:12" x14ac:dyDescent="0.2">
      <c r="C21" s="424">
        <v>2024</v>
      </c>
      <c r="D21" s="424">
        <v>2023</v>
      </c>
      <c r="E21" s="424">
        <v>2022</v>
      </c>
      <c r="J21" s="424">
        <v>2024</v>
      </c>
      <c r="K21" s="424">
        <v>2023</v>
      </c>
      <c r="L21" s="424">
        <v>2022</v>
      </c>
    </row>
    <row r="22" spans="2:12" x14ac:dyDescent="0.2">
      <c r="B22" s="421" t="s">
        <v>43</v>
      </c>
      <c r="C22" s="426">
        <v>49171</v>
      </c>
      <c r="D22" s="426">
        <v>38657</v>
      </c>
      <c r="E22" s="426">
        <v>33344</v>
      </c>
      <c r="I22" t="s">
        <v>48</v>
      </c>
      <c r="J22">
        <v>878</v>
      </c>
      <c r="K22">
        <v>548</v>
      </c>
    </row>
    <row r="23" spans="2:12" x14ac:dyDescent="0.2">
      <c r="B23" s="421" t="s">
        <v>44</v>
      </c>
      <c r="C23" s="428">
        <v>4287763</v>
      </c>
      <c r="D23" s="428">
        <v>3627286</v>
      </c>
      <c r="E23" s="428">
        <v>660477</v>
      </c>
      <c r="I23" s="421" t="s">
        <v>44</v>
      </c>
    </row>
    <row r="24" spans="2:12" x14ac:dyDescent="0.2">
      <c r="B24" s="421" t="s">
        <v>45</v>
      </c>
      <c r="C24" s="420">
        <f>C22/C23</f>
        <v>1.1467751365922044E-2</v>
      </c>
      <c r="D24" s="420">
        <f t="shared" ref="D24" si="3">D22/D23</f>
        <v>1.0657279299178504E-2</v>
      </c>
      <c r="E24" s="420">
        <f t="shared" ref="E24" si="4">E22/E23</f>
        <v>5.0484725433285339E-2</v>
      </c>
      <c r="I24" s="421" t="s">
        <v>45</v>
      </c>
    </row>
    <row r="26" spans="2:12" x14ac:dyDescent="0.2">
      <c r="B26" s="422" t="s">
        <v>49</v>
      </c>
    </row>
    <row r="27" spans="2:12" x14ac:dyDescent="0.2">
      <c r="C27" s="424">
        <v>2024</v>
      </c>
      <c r="D27" s="424">
        <v>2023</v>
      </c>
      <c r="E27" s="424"/>
    </row>
    <row r="28" spans="2:12" x14ac:dyDescent="0.2">
      <c r="B28" s="421" t="s">
        <v>50</v>
      </c>
      <c r="C28" s="426">
        <v>71579</v>
      </c>
      <c r="D28" s="426">
        <v>48922</v>
      </c>
      <c r="E28" s="426"/>
      <c r="F28" s="427"/>
      <c r="G28" t="s">
        <v>51</v>
      </c>
      <c r="I28" t="s">
        <v>52</v>
      </c>
      <c r="J28" s="425">
        <v>2239132</v>
      </c>
      <c r="K28" s="425">
        <v>1929211</v>
      </c>
    </row>
    <row r="29" spans="2:12" x14ac:dyDescent="0.2">
      <c r="B29" s="421" t="s">
        <v>53</v>
      </c>
      <c r="C29" s="426">
        <v>10588126</v>
      </c>
      <c r="D29" s="428">
        <v>9619278</v>
      </c>
      <c r="E29" s="428"/>
      <c r="F29" s="427"/>
      <c r="I29" t="s">
        <v>54</v>
      </c>
      <c r="J29" s="425">
        <v>1806740</v>
      </c>
      <c r="K29" s="425">
        <v>1412916</v>
      </c>
    </row>
    <row r="30" spans="2:12" x14ac:dyDescent="0.2">
      <c r="B30" s="421" t="s">
        <v>45</v>
      </c>
      <c r="C30" s="420">
        <f>C28/C29</f>
        <v>6.7603086702972747E-3</v>
      </c>
      <c r="D30" s="420">
        <f t="shared" ref="D30" si="5">D28/D29</f>
        <v>5.0858286869347163E-3</v>
      </c>
      <c r="E30" s="420"/>
      <c r="F30" s="427"/>
      <c r="I30" t="s">
        <v>55</v>
      </c>
      <c r="J30" s="428">
        <v>4287763</v>
      </c>
      <c r="K30" s="428">
        <v>3627286</v>
      </c>
    </row>
    <row r="31" spans="2:12" x14ac:dyDescent="0.2">
      <c r="I31" t="s">
        <v>56</v>
      </c>
      <c r="J31" s="416">
        <f>J29/J30</f>
        <v>0.42137123716959168</v>
      </c>
      <c r="K31" s="416">
        <f>K29/K30</f>
        <v>0.38952428895874214</v>
      </c>
    </row>
    <row r="32" spans="2:12" x14ac:dyDescent="0.2">
      <c r="B32" s="422" t="s">
        <v>57</v>
      </c>
      <c r="C32" s="424">
        <v>2024</v>
      </c>
      <c r="D32" s="424">
        <v>2023</v>
      </c>
      <c r="E32" s="424">
        <v>2022</v>
      </c>
      <c r="I32" t="s">
        <v>58</v>
      </c>
      <c r="J32" s="416">
        <f>J28/J30</f>
        <v>0.52221449739642789</v>
      </c>
      <c r="K32" s="416">
        <f>K28/K30</f>
        <v>0.53186073554718316</v>
      </c>
    </row>
    <row r="33" spans="2:5" x14ac:dyDescent="0.2">
      <c r="C33" s="425"/>
      <c r="D33" s="425"/>
    </row>
    <row r="34" spans="2:5" x14ac:dyDescent="0.2">
      <c r="B34" s="421" t="s">
        <v>43</v>
      </c>
      <c r="D34" s="430">
        <v>6607</v>
      </c>
      <c r="E34" s="430">
        <v>6085</v>
      </c>
    </row>
    <row r="35" spans="2:5" x14ac:dyDescent="0.2">
      <c r="B35" s="421" t="s">
        <v>44</v>
      </c>
      <c r="D35" s="430">
        <v>570463</v>
      </c>
      <c r="E35" s="430">
        <v>484601</v>
      </c>
    </row>
    <row r="36" spans="2:5" x14ac:dyDescent="0.2">
      <c r="B36" s="421" t="s">
        <v>45</v>
      </c>
      <c r="D36" s="429">
        <f>D34/D35</f>
        <v>1.1581820380988777E-2</v>
      </c>
      <c r="E36" s="429">
        <f>E34/E35</f>
        <v>1.2556721921745931E-2</v>
      </c>
    </row>
  </sheetData>
  <mergeCells count="1">
    <mergeCell ref="B1:W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58BE-928F-4229-BD33-65BBE915B4C2}">
  <sheetPr>
    <tabColor rgb="FF002060"/>
  </sheetPr>
  <dimension ref="B1:V34"/>
  <sheetViews>
    <sheetView showGridLines="0" tabSelected="1" zoomScaleNormal="100" workbookViewId="0">
      <selection activeCell="G14" sqref="G14"/>
    </sheetView>
  </sheetViews>
  <sheetFormatPr baseColWidth="10" defaultColWidth="9.1640625" defaultRowHeight="14" x14ac:dyDescent="0.15"/>
  <cols>
    <col min="1" max="1" width="9.1640625" style="140"/>
    <col min="2" max="2" width="43.33203125" style="140" bestFit="1" customWidth="1"/>
    <col min="3" max="8" width="16.5" style="140" customWidth="1"/>
    <col min="9" max="9" width="9.1640625" style="140"/>
    <col min="10" max="10" width="11" style="140" customWidth="1"/>
    <col min="11" max="11" width="9.1640625" style="140"/>
    <col min="12" max="12" width="19.33203125" style="140" customWidth="1"/>
    <col min="13" max="13" width="41.5" style="140" customWidth="1"/>
    <col min="14" max="14" width="10.5" style="140" customWidth="1"/>
    <col min="15" max="15" width="10.5" style="140" bestFit="1" customWidth="1"/>
    <col min="16" max="16" width="11" style="140" bestFit="1" customWidth="1"/>
    <col min="17" max="19" width="12.1640625" style="140" bestFit="1" customWidth="1"/>
    <col min="20" max="16384" width="9.1640625" style="140"/>
  </cols>
  <sheetData>
    <row r="1" spans="2:22" ht="45" x14ac:dyDescent="0.45">
      <c r="B1" s="460" t="s">
        <v>59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</row>
    <row r="2" spans="2:22" ht="15" customHeight="1" thickBot="1" x14ac:dyDescent="0.25">
      <c r="L2"/>
      <c r="M2"/>
      <c r="N2"/>
      <c r="O2"/>
      <c r="P2"/>
      <c r="Q2"/>
      <c r="R2"/>
      <c r="S2"/>
      <c r="T2"/>
      <c r="U2"/>
      <c r="V2"/>
    </row>
    <row r="3" spans="2:22" ht="15" customHeight="1" thickBot="1" x14ac:dyDescent="0.25">
      <c r="B3" s="341"/>
      <c r="C3" s="461" t="s">
        <v>60</v>
      </c>
      <c r="D3" s="462"/>
      <c r="E3" s="462"/>
      <c r="F3" s="462"/>
      <c r="G3" s="462"/>
      <c r="H3" s="342" t="s">
        <v>61</v>
      </c>
      <c r="L3"/>
      <c r="M3"/>
      <c r="N3"/>
      <c r="O3"/>
      <c r="P3"/>
      <c r="Q3"/>
      <c r="R3"/>
      <c r="S3"/>
      <c r="T3"/>
      <c r="U3"/>
      <c r="V3"/>
    </row>
    <row r="4" spans="2:22" ht="15" customHeight="1" x14ac:dyDescent="0.2">
      <c r="B4" s="343" t="s">
        <v>62</v>
      </c>
      <c r="C4" s="344">
        <v>2019</v>
      </c>
      <c r="D4" s="344">
        <v>2020</v>
      </c>
      <c r="E4" s="344">
        <v>2021</v>
      </c>
      <c r="F4" s="344">
        <v>2022</v>
      </c>
      <c r="G4" s="344">
        <v>2023</v>
      </c>
      <c r="H4" s="345">
        <v>2024</v>
      </c>
      <c r="I4" s="362"/>
      <c r="J4"/>
      <c r="K4"/>
      <c r="L4"/>
      <c r="M4"/>
      <c r="N4"/>
      <c r="O4"/>
      <c r="P4"/>
      <c r="Q4"/>
      <c r="R4"/>
      <c r="S4"/>
      <c r="T4"/>
      <c r="U4"/>
      <c r="V4"/>
    </row>
    <row r="5" spans="2:22" ht="15" customHeight="1" x14ac:dyDescent="0.2">
      <c r="B5" s="329"/>
      <c r="C5" s="27"/>
      <c r="D5" s="27"/>
      <c r="E5" s="27"/>
      <c r="F5" s="27"/>
      <c r="G5" s="27" t="s">
        <v>63</v>
      </c>
      <c r="H5" s="330"/>
      <c r="J5"/>
      <c r="K5"/>
      <c r="L5"/>
      <c r="M5"/>
      <c r="N5"/>
      <c r="O5"/>
      <c r="P5"/>
      <c r="Q5"/>
      <c r="R5"/>
      <c r="S5"/>
      <c r="T5"/>
      <c r="U5"/>
      <c r="V5"/>
    </row>
    <row r="6" spans="2:22" ht="15" customHeight="1" x14ac:dyDescent="0.2">
      <c r="B6" s="331" t="s">
        <v>1</v>
      </c>
      <c r="C6" s="348">
        <v>268.8</v>
      </c>
      <c r="D6" s="348">
        <v>453.5</v>
      </c>
      <c r="E6" s="348">
        <v>792.7</v>
      </c>
      <c r="F6" s="348">
        <v>1280.5999999999999</v>
      </c>
      <c r="G6" s="348">
        <v>1995.5</v>
      </c>
      <c r="H6" s="346">
        <v>2633</v>
      </c>
      <c r="J6"/>
      <c r="K6"/>
      <c r="L6"/>
      <c r="M6"/>
      <c r="N6"/>
      <c r="O6"/>
      <c r="P6"/>
      <c r="Q6"/>
      <c r="R6"/>
      <c r="S6"/>
      <c r="T6"/>
      <c r="U6"/>
      <c r="V6"/>
    </row>
    <row r="7" spans="2:22" ht="15" customHeight="1" x14ac:dyDescent="0.2">
      <c r="B7" s="332" t="s">
        <v>3</v>
      </c>
      <c r="C7" s="40"/>
      <c r="D7" s="40">
        <f>IFERROR(((D6/C6)-1),"")</f>
        <v>0.68712797619047605</v>
      </c>
      <c r="E7" s="40">
        <f t="shared" ref="E7:H7" si="0">IFERROR(((E6/D6)-1),"")</f>
        <v>0.74796030871003327</v>
      </c>
      <c r="F7" s="40">
        <f>IFERROR(((F6/E6)-1),"")</f>
        <v>0.61549135864765958</v>
      </c>
      <c r="G7" s="40">
        <f>IFERROR(((G6/F6)-1),"")</f>
        <v>0.55825394346400126</v>
      </c>
      <c r="H7" s="387">
        <f t="shared" si="0"/>
        <v>0.31946880481082429</v>
      </c>
      <c r="L7"/>
      <c r="M7"/>
      <c r="N7"/>
      <c r="O7"/>
      <c r="P7"/>
      <c r="Q7"/>
      <c r="R7"/>
      <c r="S7"/>
      <c r="T7"/>
      <c r="U7"/>
      <c r="V7"/>
    </row>
    <row r="8" spans="2:22" ht="15" customHeight="1" x14ac:dyDescent="0.2">
      <c r="B8" s="333"/>
      <c r="C8" s="27"/>
      <c r="D8" s="27"/>
      <c r="E8" s="27"/>
      <c r="F8" s="27"/>
      <c r="G8" s="27"/>
      <c r="H8" s="330"/>
      <c r="L8"/>
      <c r="M8"/>
      <c r="N8"/>
      <c r="O8"/>
      <c r="P8"/>
      <c r="Q8"/>
      <c r="R8"/>
      <c r="S8"/>
      <c r="T8"/>
      <c r="U8"/>
      <c r="V8"/>
    </row>
    <row r="9" spans="2:22" ht="15" customHeight="1" x14ac:dyDescent="0.2">
      <c r="B9" s="334" t="s">
        <v>4</v>
      </c>
      <c r="C9" s="348">
        <v>11.1</v>
      </c>
      <c r="D9" s="348">
        <v>-5.3</v>
      </c>
      <c r="E9" s="348">
        <v>-111.6</v>
      </c>
      <c r="F9" s="348">
        <v>138.69999999999999</v>
      </c>
      <c r="G9" s="348">
        <v>272.89999999999998</v>
      </c>
      <c r="H9" s="346">
        <v>439.7</v>
      </c>
      <c r="L9"/>
      <c r="M9"/>
      <c r="N9"/>
      <c r="O9"/>
      <c r="P9"/>
      <c r="Q9"/>
      <c r="R9"/>
      <c r="S9"/>
      <c r="T9"/>
      <c r="U9"/>
      <c r="V9"/>
    </row>
    <row r="10" spans="2:22" ht="15" customHeight="1" x14ac:dyDescent="0.2">
      <c r="B10" s="332" t="s">
        <v>6</v>
      </c>
      <c r="C10" s="40">
        <f>IFERROR(C9/C6,"")</f>
        <v>4.1294642857142856E-2</v>
      </c>
      <c r="D10" s="40">
        <f t="shared" ref="D10:H10" si="1">IFERROR(D9/D6,"")</f>
        <v>-1.1686879823594266E-2</v>
      </c>
      <c r="E10" s="40">
        <f t="shared" si="1"/>
        <v>-0.14078466002270718</v>
      </c>
      <c r="F10" s="40">
        <f t="shared" si="1"/>
        <v>0.10830860534124628</v>
      </c>
      <c r="G10" s="40">
        <f t="shared" si="1"/>
        <v>0.13675770483588073</v>
      </c>
      <c r="H10" s="387">
        <f t="shared" si="1"/>
        <v>0.16699582225598175</v>
      </c>
      <c r="L10"/>
      <c r="M10"/>
      <c r="N10"/>
      <c r="O10"/>
      <c r="P10"/>
      <c r="Q10"/>
      <c r="R10"/>
      <c r="S10"/>
      <c r="T10"/>
      <c r="U10"/>
      <c r="V10"/>
    </row>
    <row r="11" spans="2:22" ht="15" customHeight="1" x14ac:dyDescent="0.2">
      <c r="B11" s="333"/>
      <c r="C11" s="27"/>
      <c r="D11" s="27"/>
      <c r="E11" s="27"/>
      <c r="F11" s="27"/>
      <c r="G11" s="27"/>
      <c r="H11" s="330"/>
      <c r="L11"/>
      <c r="M11"/>
      <c r="N11"/>
      <c r="O11"/>
      <c r="P11"/>
      <c r="Q11"/>
      <c r="R11"/>
      <c r="S11"/>
      <c r="T11"/>
      <c r="U11"/>
      <c r="V11"/>
    </row>
    <row r="12" spans="2:22" ht="15" customHeight="1" x14ac:dyDescent="0.2">
      <c r="B12" s="334" t="s">
        <v>7</v>
      </c>
      <c r="C12" s="348">
        <v>5.4</v>
      </c>
      <c r="D12" s="348">
        <v>12.9</v>
      </c>
      <c r="E12" s="348">
        <v>34.4</v>
      </c>
      <c r="F12" s="348">
        <v>48.6</v>
      </c>
      <c r="G12" s="348">
        <v>72.3</v>
      </c>
      <c r="H12" s="346">
        <v>118.8</v>
      </c>
      <c r="L12"/>
      <c r="M12"/>
      <c r="N12"/>
      <c r="O12"/>
      <c r="P12"/>
      <c r="Q12"/>
      <c r="R12"/>
      <c r="S12"/>
      <c r="T12"/>
      <c r="U12"/>
      <c r="V12"/>
    </row>
    <row r="13" spans="2:22" ht="15" customHeight="1" x14ac:dyDescent="0.2">
      <c r="B13" s="332" t="s">
        <v>17</v>
      </c>
      <c r="C13" s="40">
        <f>IFERROR(Historicals!$C$12/C6,"")</f>
        <v>2.0089285714285716E-2</v>
      </c>
      <c r="D13" s="40" cm="1">
        <f t="array" ref="D13">IFERROR(Historicals!$D$12/D6,"")</f>
        <v>2.8445424476295479E-2</v>
      </c>
      <c r="E13" s="40" t="s">
        <v>208</v>
      </c>
      <c r="F13" s="40" cm="1">
        <f t="array" ref="F13">IFERROR(Historicals!$E$12/F6,"")</f>
        <v>2.6862408246134624E-2</v>
      </c>
      <c r="G13" s="40" cm="1">
        <f t="array" ref="G13">IFERROR(Historicals!$G$12/G6,"")</f>
        <v>3.623152092207467E-2</v>
      </c>
      <c r="H13" s="387" cm="1">
        <f t="array" ref="H13">IFERROR(Historicals!$H$12/H6,"")</f>
        <v>4.5119635396885682E-2</v>
      </c>
      <c r="L13"/>
      <c r="M13"/>
      <c r="N13"/>
      <c r="O13"/>
      <c r="P13"/>
      <c r="Q13"/>
      <c r="R13"/>
      <c r="S13"/>
      <c r="T13"/>
      <c r="U13"/>
      <c r="V13"/>
    </row>
    <row r="14" spans="2:22" ht="15" customHeight="1" x14ac:dyDescent="0.2">
      <c r="B14" s="333"/>
      <c r="C14" s="27"/>
      <c r="D14" s="27"/>
      <c r="E14" s="27"/>
      <c r="F14" s="27"/>
      <c r="G14" s="27"/>
      <c r="H14" s="330"/>
      <c r="L14"/>
      <c r="M14"/>
      <c r="N14"/>
      <c r="O14"/>
      <c r="P14"/>
      <c r="Q14"/>
      <c r="R14"/>
      <c r="S14"/>
      <c r="T14"/>
      <c r="U14"/>
      <c r="V14"/>
    </row>
    <row r="15" spans="2:22" ht="15" customHeight="1" x14ac:dyDescent="0.2">
      <c r="B15" s="334" t="s">
        <v>9</v>
      </c>
      <c r="C15" s="348">
        <f>C9-C12</f>
        <v>5.6999999999999993</v>
      </c>
      <c r="D15" s="348">
        <f t="shared" ref="D15:G15" si="2">D9-D12</f>
        <v>-18.2</v>
      </c>
      <c r="E15" s="348">
        <f t="shared" si="2"/>
        <v>-146</v>
      </c>
      <c r="F15" s="348">
        <f t="shared" si="2"/>
        <v>90.1</v>
      </c>
      <c r="G15" s="348">
        <f t="shared" si="2"/>
        <v>200.59999999999997</v>
      </c>
      <c r="H15" s="346">
        <f>H9-H12</f>
        <v>320.89999999999998</v>
      </c>
      <c r="L15"/>
      <c r="M15"/>
      <c r="N15"/>
      <c r="O15"/>
      <c r="P15"/>
      <c r="Q15"/>
      <c r="R15"/>
      <c r="S15"/>
      <c r="T15"/>
      <c r="U15"/>
      <c r="V15"/>
    </row>
    <row r="16" spans="2:22" ht="15" customHeight="1" x14ac:dyDescent="0.2">
      <c r="B16" s="332" t="s">
        <v>10</v>
      </c>
      <c r="C16" s="40">
        <f>IFERROR(C15/C6,"")</f>
        <v>2.120535714285714E-2</v>
      </c>
      <c r="D16" s="40">
        <f t="shared" ref="D16:H16" si="3">IFERROR(D15/D6,"")</f>
        <v>-4.0132304299889746E-2</v>
      </c>
      <c r="E16" s="40">
        <f t="shared" si="3"/>
        <v>-0.18418064841680332</v>
      </c>
      <c r="F16" s="40">
        <f t="shared" si="3"/>
        <v>7.0357644853974693E-2</v>
      </c>
      <c r="G16" s="40">
        <f t="shared" si="3"/>
        <v>0.10052618391380605</v>
      </c>
      <c r="H16" s="387">
        <f t="shared" si="3"/>
        <v>0.12187618685909608</v>
      </c>
      <c r="L16"/>
      <c r="M16"/>
      <c r="N16"/>
      <c r="O16"/>
      <c r="P16"/>
      <c r="Q16"/>
      <c r="R16"/>
      <c r="S16"/>
      <c r="T16"/>
      <c r="U16"/>
      <c r="V16"/>
    </row>
    <row r="17" spans="2:22" ht="15" customHeight="1" x14ac:dyDescent="0.2">
      <c r="B17" s="333"/>
      <c r="C17" s="27"/>
      <c r="D17" s="27"/>
      <c r="E17" s="27"/>
      <c r="F17" s="27"/>
      <c r="G17" s="27"/>
      <c r="H17" s="330"/>
      <c r="L17"/>
      <c r="M17"/>
      <c r="N17"/>
      <c r="O17"/>
      <c r="P17"/>
      <c r="Q17"/>
      <c r="R17"/>
      <c r="S17"/>
      <c r="T17"/>
      <c r="U17"/>
      <c r="V17"/>
    </row>
    <row r="18" spans="2:22" ht="15" customHeight="1" x14ac:dyDescent="0.2">
      <c r="B18" s="334" t="s">
        <v>11</v>
      </c>
      <c r="C18" s="348">
        <v>4.5999999999999996</v>
      </c>
      <c r="D18" s="348">
        <v>3.3</v>
      </c>
      <c r="E18" s="348">
        <v>11.6</v>
      </c>
      <c r="F18" s="348">
        <v>21.2</v>
      </c>
      <c r="G18" s="348">
        <v>-11.7</v>
      </c>
      <c r="H18" s="346">
        <v>42.5</v>
      </c>
      <c r="L18"/>
      <c r="M18"/>
      <c r="N18"/>
      <c r="O18"/>
      <c r="P18"/>
      <c r="Q18"/>
      <c r="R18"/>
      <c r="S18"/>
      <c r="T18"/>
      <c r="U18"/>
      <c r="V18"/>
    </row>
    <row r="19" spans="2:22" ht="15" customHeight="1" x14ac:dyDescent="0.2">
      <c r="B19" s="332" t="s">
        <v>13</v>
      </c>
      <c r="C19" s="40">
        <f>IFERROR(Historicals!$C$18/C15,"")</f>
        <v>0.80701754385964919</v>
      </c>
      <c r="D19" s="40">
        <f>IFERROR(Historicals!$C$18/D15,"")</f>
        <v>-0.25274725274725274</v>
      </c>
      <c r="E19" s="40">
        <f>IFERROR(Historicals!$C$18/E15,"")</f>
        <v>-3.1506849315068489E-2</v>
      </c>
      <c r="F19" s="40">
        <f>IFERROR(Historicals!$C$18/F15,"")</f>
        <v>5.1054384017758046E-2</v>
      </c>
      <c r="G19" s="40">
        <f>IFERROR(Historicals!$C$18/G15,"")</f>
        <v>2.2931206380857432E-2</v>
      </c>
      <c r="H19" s="387">
        <f>IFERROR(Historicals!$C$18/H15,"")</f>
        <v>1.4334683702087878E-2</v>
      </c>
      <c r="J19" s="350"/>
      <c r="L19"/>
      <c r="M19"/>
      <c r="N19"/>
      <c r="O19"/>
      <c r="P19"/>
      <c r="Q19"/>
      <c r="R19"/>
      <c r="S19"/>
      <c r="T19"/>
      <c r="U19"/>
      <c r="V19"/>
    </row>
    <row r="20" spans="2:22" ht="15" customHeight="1" x14ac:dyDescent="0.2">
      <c r="B20" s="335"/>
      <c r="C20" s="347"/>
      <c r="D20" s="347"/>
      <c r="E20" s="347"/>
      <c r="F20" s="347"/>
      <c r="G20" s="347"/>
      <c r="H20" s="336"/>
      <c r="L20"/>
      <c r="M20"/>
      <c r="N20"/>
      <c r="O20"/>
      <c r="P20"/>
      <c r="Q20"/>
      <c r="R20"/>
      <c r="S20"/>
      <c r="T20"/>
      <c r="U20"/>
      <c r="V20"/>
    </row>
    <row r="21" spans="2:22" ht="15" customHeight="1" x14ac:dyDescent="0.2">
      <c r="B21" s="337" t="s">
        <v>15</v>
      </c>
      <c r="C21" s="348">
        <f>C15-C18</f>
        <v>1.0999999999999996</v>
      </c>
      <c r="D21" s="348">
        <f t="shared" ref="D21:H21" si="4">D15-D18</f>
        <v>-21.5</v>
      </c>
      <c r="E21" s="348">
        <f t="shared" si="4"/>
        <v>-157.6</v>
      </c>
      <c r="F21" s="348">
        <f t="shared" si="4"/>
        <v>68.899999999999991</v>
      </c>
      <c r="G21" s="348">
        <f t="shared" si="4"/>
        <v>212.29999999999995</v>
      </c>
      <c r="H21" s="346">
        <f t="shared" si="4"/>
        <v>278.39999999999998</v>
      </c>
      <c r="L21"/>
      <c r="M21"/>
      <c r="N21"/>
      <c r="O21"/>
      <c r="P21"/>
      <c r="Q21"/>
      <c r="R21"/>
      <c r="S21"/>
      <c r="T21"/>
      <c r="U21"/>
      <c r="V21"/>
    </row>
    <row r="22" spans="2:22" ht="15" customHeight="1" x14ac:dyDescent="0.2">
      <c r="B22" s="335"/>
      <c r="C22" s="26"/>
      <c r="D22" s="26"/>
      <c r="E22" s="26"/>
      <c r="F22" s="26"/>
      <c r="G22" s="26"/>
      <c r="H22" s="338"/>
      <c r="L22"/>
      <c r="M22"/>
      <c r="N22"/>
      <c r="O22"/>
      <c r="P22"/>
      <c r="Q22"/>
      <c r="R22"/>
      <c r="S22"/>
      <c r="T22"/>
      <c r="U22"/>
      <c r="V22"/>
    </row>
    <row r="23" spans="2:22" ht="15" customHeight="1" x14ac:dyDescent="0.2">
      <c r="B23" s="337" t="s">
        <v>7</v>
      </c>
      <c r="C23" s="348">
        <f t="shared" ref="C23:H23" si="5">C12</f>
        <v>5.4</v>
      </c>
      <c r="D23" s="348">
        <f t="shared" si="5"/>
        <v>12.9</v>
      </c>
      <c r="E23" s="348">
        <f t="shared" si="5"/>
        <v>34.4</v>
      </c>
      <c r="F23" s="348">
        <f t="shared" si="5"/>
        <v>48.6</v>
      </c>
      <c r="G23" s="348">
        <f t="shared" si="5"/>
        <v>72.3</v>
      </c>
      <c r="H23" s="346">
        <f t="shared" si="5"/>
        <v>118.8</v>
      </c>
      <c r="L23"/>
      <c r="M23"/>
      <c r="N23"/>
      <c r="O23"/>
      <c r="P23"/>
      <c r="Q23"/>
      <c r="R23"/>
      <c r="S23"/>
      <c r="T23"/>
      <c r="U23"/>
      <c r="V23"/>
    </row>
    <row r="24" spans="2:22" ht="15" customHeight="1" x14ac:dyDescent="0.2">
      <c r="B24" s="339" t="s">
        <v>17</v>
      </c>
      <c r="C24" s="347">
        <f>IFERROR(C12/C6,"")</f>
        <v>2.0089285714285716E-2</v>
      </c>
      <c r="D24" s="347">
        <f t="shared" ref="D24:H24" si="6">IFERROR(D12/D6,"")</f>
        <v>2.8445424476295479E-2</v>
      </c>
      <c r="E24" s="347">
        <f t="shared" si="6"/>
        <v>4.339598839409612E-2</v>
      </c>
      <c r="F24" s="347">
        <f t="shared" si="6"/>
        <v>3.7950960487271597E-2</v>
      </c>
      <c r="G24" s="347">
        <f t="shared" si="6"/>
        <v>3.623152092207467E-2</v>
      </c>
      <c r="H24" s="336">
        <f t="shared" si="6"/>
        <v>4.5119635396885682E-2</v>
      </c>
      <c r="L24"/>
      <c r="M24"/>
      <c r="N24"/>
      <c r="O24"/>
      <c r="P24"/>
      <c r="Q24"/>
      <c r="R24"/>
      <c r="S24"/>
      <c r="T24"/>
      <c r="U24"/>
      <c r="V24"/>
    </row>
    <row r="25" spans="2:22" ht="15" customHeight="1" x14ac:dyDescent="0.2">
      <c r="B25" s="335"/>
      <c r="C25" s="26"/>
      <c r="D25" s="26"/>
      <c r="E25" s="26"/>
      <c r="F25" s="26"/>
      <c r="G25" s="26"/>
      <c r="H25" s="338"/>
      <c r="L25"/>
      <c r="M25"/>
      <c r="N25"/>
      <c r="O25"/>
      <c r="P25"/>
      <c r="Q25"/>
      <c r="R25"/>
      <c r="S25"/>
      <c r="T25"/>
      <c r="U25"/>
      <c r="V25"/>
    </row>
    <row r="26" spans="2:22" ht="15" customHeight="1" x14ac:dyDescent="0.2">
      <c r="B26" s="337" t="s">
        <v>64</v>
      </c>
      <c r="C26" s="388">
        <v>-7.5</v>
      </c>
      <c r="D26" s="388">
        <v>-11.7</v>
      </c>
      <c r="E26" s="388">
        <v>-27</v>
      </c>
      <c r="F26" s="388">
        <v>-63.2</v>
      </c>
      <c r="G26" s="388">
        <v>-47.7</v>
      </c>
      <c r="H26" s="389">
        <v>-68.7</v>
      </c>
      <c r="L26"/>
      <c r="M26"/>
      <c r="N26"/>
      <c r="O26"/>
      <c r="P26"/>
      <c r="Q26"/>
      <c r="R26"/>
      <c r="S26"/>
      <c r="T26"/>
      <c r="U26"/>
      <c r="V26"/>
    </row>
    <row r="27" spans="2:22" ht="15" customHeight="1" x14ac:dyDescent="0.2">
      <c r="B27" s="339" t="s">
        <v>19</v>
      </c>
      <c r="C27" s="347">
        <f>IFERROR(C26/C6,"")</f>
        <v>-2.7901785714285712E-2</v>
      </c>
      <c r="D27" s="347">
        <f t="shared" ref="D27:H27" si="7">IFERROR(D26/D6,"")</f>
        <v>-2.579933847850055E-2</v>
      </c>
      <c r="E27" s="347">
        <f t="shared" si="7"/>
        <v>-3.4060804844203353E-2</v>
      </c>
      <c r="F27" s="347">
        <f t="shared" si="7"/>
        <v>-4.9351866312665943E-2</v>
      </c>
      <c r="G27" s="347">
        <f t="shared" si="7"/>
        <v>-2.3903783512904037E-2</v>
      </c>
      <c r="H27" s="336">
        <f t="shared" si="7"/>
        <v>-2.6091910368401066E-2</v>
      </c>
      <c r="L27"/>
      <c r="M27"/>
      <c r="N27"/>
      <c r="O27"/>
      <c r="P27"/>
      <c r="Q27"/>
      <c r="R27"/>
      <c r="S27"/>
      <c r="T27"/>
      <c r="U27"/>
      <c r="V27"/>
    </row>
    <row r="28" spans="2:22" ht="15" customHeight="1" x14ac:dyDescent="0.2">
      <c r="B28" s="335"/>
      <c r="C28" s="26"/>
      <c r="D28" s="26"/>
      <c r="E28" s="26"/>
      <c r="F28" s="26"/>
      <c r="G28" s="26"/>
      <c r="H28" s="338"/>
      <c r="L28"/>
      <c r="M28"/>
      <c r="N28"/>
      <c r="O28"/>
      <c r="P28"/>
      <c r="Q28"/>
      <c r="R28"/>
      <c r="S28"/>
      <c r="T28"/>
      <c r="U28"/>
      <c r="V28"/>
    </row>
    <row r="29" spans="2:22" ht="15" customHeight="1" x14ac:dyDescent="0.2">
      <c r="B29" s="337" t="s">
        <v>65</v>
      </c>
      <c r="C29" s="388">
        <v>-33.6</v>
      </c>
      <c r="D29" s="388">
        <v>-59.4</v>
      </c>
      <c r="E29" s="388">
        <v>-72.599999999999994</v>
      </c>
      <c r="F29" s="388">
        <v>-370.3</v>
      </c>
      <c r="G29" s="388">
        <v>-8.6999999999999993</v>
      </c>
      <c r="H29" s="346">
        <v>161.1</v>
      </c>
      <c r="L29"/>
      <c r="M29"/>
      <c r="N29"/>
      <c r="O29"/>
      <c r="P29"/>
      <c r="Q29"/>
      <c r="R29"/>
      <c r="S29"/>
      <c r="T29"/>
      <c r="U29"/>
      <c r="V29"/>
    </row>
    <row r="30" spans="2:22" ht="15" customHeight="1" x14ac:dyDescent="0.2">
      <c r="B30" s="335"/>
      <c r="C30" s="347">
        <f>IFERROR(C29/C6,"")</f>
        <v>-0.125</v>
      </c>
      <c r="D30" s="347">
        <f t="shared" ref="D30:H30" si="8">IFERROR(D29/D6,"")</f>
        <v>-0.13098125689084894</v>
      </c>
      <c r="E30" s="347">
        <f t="shared" si="8"/>
        <v>-9.1585719692191231E-2</v>
      </c>
      <c r="F30" s="347">
        <f t="shared" si="8"/>
        <v>-0.28916133062626898</v>
      </c>
      <c r="G30" s="347">
        <f t="shared" si="8"/>
        <v>-4.3598095715359558E-3</v>
      </c>
      <c r="H30" s="336">
        <f t="shared" si="8"/>
        <v>6.1184960121534369E-2</v>
      </c>
      <c r="L30"/>
      <c r="M30"/>
      <c r="N30"/>
      <c r="O30"/>
      <c r="P30"/>
      <c r="Q30"/>
      <c r="R30"/>
      <c r="S30"/>
      <c r="T30"/>
      <c r="U30"/>
      <c r="V30"/>
    </row>
    <row r="31" spans="2:22" ht="15" customHeight="1" x14ac:dyDescent="0.2">
      <c r="B31" s="335"/>
      <c r="C31" s="347"/>
      <c r="D31" s="347"/>
      <c r="E31" s="347"/>
      <c r="F31" s="347"/>
      <c r="G31" s="347"/>
      <c r="H31" s="336"/>
      <c r="L31"/>
      <c r="M31"/>
      <c r="N31"/>
      <c r="O31"/>
      <c r="P31"/>
      <c r="Q31"/>
      <c r="R31"/>
      <c r="S31"/>
      <c r="T31"/>
      <c r="U31"/>
      <c r="V31"/>
    </row>
    <row r="32" spans="2:22" ht="15" customHeight="1" x14ac:dyDescent="0.2">
      <c r="B32" s="337" t="s">
        <v>66</v>
      </c>
      <c r="C32" s="348">
        <v>19</v>
      </c>
      <c r="D32" s="348">
        <v>51.9</v>
      </c>
      <c r="E32" s="348">
        <v>210.5</v>
      </c>
      <c r="F32" s="348">
        <v>40.1</v>
      </c>
      <c r="G32" s="348">
        <v>30.4</v>
      </c>
      <c r="H32" s="346">
        <v>65.400000000000006</v>
      </c>
      <c r="L32"/>
      <c r="M32"/>
      <c r="N32"/>
      <c r="O32"/>
      <c r="P32"/>
      <c r="Q32"/>
      <c r="R32"/>
      <c r="S32"/>
      <c r="T32"/>
      <c r="U32"/>
      <c r="V32"/>
    </row>
    <row r="33" spans="2:22" ht="15" customHeight="1" thickBot="1" x14ac:dyDescent="0.25">
      <c r="B33" s="349" t="s">
        <v>26</v>
      </c>
      <c r="C33" s="340">
        <f>C32/C6</f>
        <v>7.0684523809523808E-2</v>
      </c>
      <c r="D33" s="340">
        <f t="shared" ref="D33:H33" si="9">D32/D6</f>
        <v>0.11444321940463065</v>
      </c>
      <c r="E33" s="340">
        <f t="shared" si="9"/>
        <v>0.26554812665573357</v>
      </c>
      <c r="F33" s="340">
        <f t="shared" si="9"/>
        <v>3.1313446821802281E-2</v>
      </c>
      <c r="G33" s="340">
        <f t="shared" si="9"/>
        <v>1.5234277123527937E-2</v>
      </c>
      <c r="H33" s="386">
        <f t="shared" si="9"/>
        <v>2.4838587162932017E-2</v>
      </c>
      <c r="L33"/>
      <c r="M33"/>
      <c r="N33"/>
      <c r="O33"/>
      <c r="P33"/>
      <c r="Q33"/>
      <c r="R33"/>
      <c r="S33"/>
      <c r="T33"/>
      <c r="U33"/>
      <c r="V33"/>
    </row>
    <row r="34" spans="2:22" ht="15" customHeight="1" x14ac:dyDescent="0.2">
      <c r="L34"/>
      <c r="M34"/>
      <c r="N34"/>
      <c r="O34"/>
      <c r="P34"/>
      <c r="Q34"/>
      <c r="R34"/>
      <c r="S34"/>
      <c r="T34"/>
      <c r="U34"/>
      <c r="V34"/>
    </row>
  </sheetData>
  <mergeCells count="2">
    <mergeCell ref="B1:V1"/>
    <mergeCell ref="C3:G3"/>
  </mergeCells>
  <pageMargins left="0.7" right="0.7" top="0.75" bottom="0.75" header="0.3" footer="0.3"/>
  <pageSetup scale="3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90D4D-299A-4079-B088-7F7EEBBF945C}">
  <sheetPr>
    <tabColor rgb="FF0070C0"/>
  </sheetPr>
  <dimension ref="B1:V43"/>
  <sheetViews>
    <sheetView topLeftCell="B1" zoomScale="68" zoomScaleNormal="54" workbookViewId="0">
      <selection activeCell="L8" sqref="L8"/>
    </sheetView>
  </sheetViews>
  <sheetFormatPr baseColWidth="10" defaultColWidth="8.6640625" defaultRowHeight="15" x14ac:dyDescent="0.2"/>
  <cols>
    <col min="1" max="1" width="8.6640625" style="25"/>
    <col min="2" max="2" width="44" style="25" customWidth="1"/>
    <col min="3" max="10" width="16.6640625" style="25" customWidth="1"/>
    <col min="11" max="11" width="36.1640625" style="25" customWidth="1"/>
    <col min="12" max="12" width="14.6640625" style="25" customWidth="1"/>
    <col min="13" max="22" width="16.6640625" style="25" customWidth="1"/>
    <col min="23" max="16384" width="8.6640625" style="25"/>
  </cols>
  <sheetData>
    <row r="1" spans="2:22" ht="45" x14ac:dyDescent="0.45">
      <c r="B1" s="361" t="s">
        <v>104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</row>
    <row r="3" spans="2:22" ht="19" x14ac:dyDescent="0.25">
      <c r="B3" s="130" t="s">
        <v>68</v>
      </c>
      <c r="C3" s="131">
        <v>2024</v>
      </c>
      <c r="D3" s="132">
        <v>2025</v>
      </c>
      <c r="E3" s="132">
        <v>2026</v>
      </c>
      <c r="F3" s="132">
        <v>2027</v>
      </c>
      <c r="G3" s="132">
        <v>2028</v>
      </c>
      <c r="H3" s="132">
        <v>2029</v>
      </c>
      <c r="I3" s="132">
        <v>2030</v>
      </c>
      <c r="J3" s="105"/>
      <c r="K3" s="465" t="s">
        <v>105</v>
      </c>
      <c r="L3" s="465"/>
      <c r="M3" s="105"/>
      <c r="N3" s="466"/>
      <c r="O3" s="466"/>
      <c r="P3" s="105"/>
      <c r="Q3" s="105"/>
      <c r="R3" s="105"/>
      <c r="S3" s="105"/>
      <c r="T3" s="105"/>
    </row>
    <row r="4" spans="2:22" ht="19" x14ac:dyDescent="0.25">
      <c r="B4" s="27"/>
      <c r="C4" s="28" t="s">
        <v>71</v>
      </c>
      <c r="D4" s="27"/>
      <c r="E4" s="27"/>
      <c r="F4" s="27"/>
      <c r="G4" s="27"/>
      <c r="H4" s="27"/>
      <c r="I4" s="27"/>
      <c r="J4" s="105"/>
      <c r="K4" s="26" t="s">
        <v>72</v>
      </c>
      <c r="L4" s="29">
        <f>C39</f>
        <v>0.108</v>
      </c>
      <c r="M4" s="105"/>
      <c r="N4" s="105"/>
      <c r="O4" s="105"/>
      <c r="P4" s="105"/>
      <c r="Q4" s="105"/>
      <c r="R4" s="105"/>
      <c r="S4" s="105"/>
      <c r="T4" s="105"/>
    </row>
    <row r="5" spans="2:22" ht="19" x14ac:dyDescent="0.25">
      <c r="B5" s="32" t="s">
        <v>1</v>
      </c>
      <c r="C5" s="33">
        <f>Historicals!H6</f>
        <v>2633</v>
      </c>
      <c r="D5" s="34">
        <f t="shared" ref="D5:I5" si="0">C5*(1+D6)</f>
        <v>3291.25</v>
      </c>
      <c r="E5" s="34">
        <f t="shared" si="0"/>
        <v>4048.2374999999997</v>
      </c>
      <c r="F5" s="34">
        <f t="shared" si="0"/>
        <v>4857.8849999999993</v>
      </c>
      <c r="G5" s="34">
        <f t="shared" si="0"/>
        <v>5732.3042999999989</v>
      </c>
      <c r="H5" s="34">
        <f t="shared" si="0"/>
        <v>6592.1499449999983</v>
      </c>
      <c r="I5" s="34">
        <f t="shared" si="0"/>
        <v>7251.3649394999984</v>
      </c>
      <c r="J5" s="105"/>
      <c r="K5" s="26" t="s">
        <v>106</v>
      </c>
      <c r="L5" s="106">
        <f>I8</f>
        <v>1232.7320397149999</v>
      </c>
      <c r="M5" s="105"/>
      <c r="N5" s="105"/>
      <c r="O5" s="105"/>
      <c r="P5" s="105"/>
      <c r="Q5" s="105"/>
      <c r="R5" s="105"/>
      <c r="S5" s="105"/>
      <c r="T5" s="105"/>
    </row>
    <row r="6" spans="2:22" ht="19" x14ac:dyDescent="0.25">
      <c r="B6" s="38" t="s">
        <v>3</v>
      </c>
      <c r="C6" s="39">
        <f>Historicals!H7</f>
        <v>0.31946880481082429</v>
      </c>
      <c r="D6" s="40">
        <v>0.25</v>
      </c>
      <c r="E6" s="40">
        <v>0.23</v>
      </c>
      <c r="F6" s="40">
        <v>0.2</v>
      </c>
      <c r="G6" s="40">
        <f t="shared" ref="G6" si="1">F6-2%</f>
        <v>0.18000000000000002</v>
      </c>
      <c r="H6" s="40">
        <v>0.15</v>
      </c>
      <c r="I6" s="40">
        <v>0.1</v>
      </c>
      <c r="J6" s="105"/>
      <c r="K6" s="26" t="s">
        <v>107</v>
      </c>
      <c r="L6" s="383">
        <f>'Multiples Valuations'!K30</f>
        <v>17.55</v>
      </c>
      <c r="M6" s="404"/>
      <c r="N6" s="410"/>
      <c r="O6" s="105"/>
      <c r="P6" s="105"/>
      <c r="Q6" s="105"/>
      <c r="R6" s="105"/>
      <c r="S6" s="105"/>
      <c r="T6" s="105"/>
    </row>
    <row r="7" spans="2:22" ht="19" x14ac:dyDescent="0.25">
      <c r="B7" s="44"/>
      <c r="C7" s="28"/>
      <c r="D7" s="27"/>
      <c r="E7" s="27"/>
      <c r="F7" s="27"/>
      <c r="G7" s="27"/>
      <c r="H7" s="27"/>
      <c r="I7" s="27"/>
      <c r="J7" s="105"/>
      <c r="K7" s="26" t="s">
        <v>82</v>
      </c>
      <c r="L7" s="106">
        <f>L5*L6</f>
        <v>21634.447296998249</v>
      </c>
      <c r="M7" s="105"/>
      <c r="N7" s="105"/>
      <c r="O7" s="105"/>
      <c r="P7" s="105"/>
      <c r="Q7" s="105"/>
      <c r="R7" s="105"/>
      <c r="S7" s="105"/>
      <c r="T7" s="105"/>
    </row>
    <row r="8" spans="2:22" ht="19" x14ac:dyDescent="0.25">
      <c r="B8" s="46" t="s">
        <v>4</v>
      </c>
      <c r="C8" s="33">
        <f>Historicals!H9</f>
        <v>439.7</v>
      </c>
      <c r="D8" s="34">
        <f t="shared" ref="D8:I8" si="2">D9*D5</f>
        <v>559.51250000000005</v>
      </c>
      <c r="E8" s="34">
        <f t="shared" si="2"/>
        <v>688.20037500000001</v>
      </c>
      <c r="F8" s="34">
        <f t="shared" si="2"/>
        <v>825.84044999999992</v>
      </c>
      <c r="G8" s="34">
        <f t="shared" si="2"/>
        <v>974.49173099999985</v>
      </c>
      <c r="H8" s="34">
        <f t="shared" si="2"/>
        <v>1120.6654906499998</v>
      </c>
      <c r="I8" s="34">
        <f t="shared" si="2"/>
        <v>1232.7320397149999</v>
      </c>
      <c r="J8" s="105"/>
      <c r="K8" s="26" t="s">
        <v>83</v>
      </c>
      <c r="L8" s="50">
        <f>1/((1+I39)^(I3-D3))</f>
        <v>0.59882675786277884</v>
      </c>
      <c r="M8" s="105"/>
      <c r="N8" s="105"/>
      <c r="O8" s="105"/>
      <c r="P8" s="105"/>
      <c r="Q8" s="105"/>
      <c r="R8" s="105"/>
      <c r="S8" s="105"/>
      <c r="T8" s="105"/>
    </row>
    <row r="9" spans="2:22" ht="19" x14ac:dyDescent="0.25">
      <c r="B9" s="38" t="s">
        <v>6</v>
      </c>
      <c r="C9" s="39">
        <f>Historicals!H10</f>
        <v>0.16699582225598175</v>
      </c>
      <c r="D9" s="40">
        <v>0.17</v>
      </c>
      <c r="E9" s="40">
        <v>0.17</v>
      </c>
      <c r="F9" s="40">
        <v>0.17</v>
      </c>
      <c r="G9" s="40">
        <v>0.17</v>
      </c>
      <c r="H9" s="40">
        <v>0.17</v>
      </c>
      <c r="I9" s="40">
        <v>0.17</v>
      </c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</row>
    <row r="10" spans="2:22" ht="19" x14ac:dyDescent="0.25">
      <c r="B10" s="44"/>
      <c r="C10" s="28"/>
      <c r="D10" s="27"/>
      <c r="E10" s="27"/>
      <c r="F10" s="27"/>
      <c r="G10" s="27"/>
      <c r="H10" s="27"/>
      <c r="I10" s="27"/>
      <c r="J10" s="105"/>
      <c r="K10" s="134" t="s">
        <v>108</v>
      </c>
      <c r="L10" s="135"/>
      <c r="M10" s="105"/>
      <c r="N10" s="105"/>
      <c r="O10" s="105"/>
      <c r="P10" s="105"/>
      <c r="Q10" s="105"/>
      <c r="R10" s="105"/>
      <c r="S10" s="105"/>
      <c r="T10" s="105"/>
    </row>
    <row r="11" spans="2:22" ht="19" x14ac:dyDescent="0.25">
      <c r="B11" s="46" t="s">
        <v>7</v>
      </c>
      <c r="C11" s="33">
        <f>Historicals!H12</f>
        <v>118.8</v>
      </c>
      <c r="D11" s="34">
        <f t="shared" ref="D11:I11" si="3">D12*D5</f>
        <v>148.10624999999999</v>
      </c>
      <c r="E11" s="34">
        <f t="shared" si="3"/>
        <v>206.46011249999998</v>
      </c>
      <c r="F11" s="34">
        <f t="shared" si="3"/>
        <v>281.75732999999997</v>
      </c>
      <c r="G11" s="34">
        <f t="shared" si="3"/>
        <v>332.47364939999994</v>
      </c>
      <c r="H11" s="34">
        <f t="shared" si="3"/>
        <v>382.3446968099999</v>
      </c>
      <c r="I11" s="34">
        <f t="shared" si="3"/>
        <v>420.57916649099991</v>
      </c>
      <c r="J11" s="105"/>
      <c r="K11" s="26" t="s">
        <v>85</v>
      </c>
      <c r="L11" s="107">
        <f>SUM(D43:I43)</f>
        <v>3496.3210463917585</v>
      </c>
      <c r="M11" s="105"/>
      <c r="N11" s="26"/>
      <c r="O11" s="50"/>
      <c r="P11" s="105"/>
      <c r="Q11" s="105"/>
      <c r="R11" s="105"/>
      <c r="S11" s="105"/>
      <c r="T11" s="105"/>
    </row>
    <row r="12" spans="2:22" ht="19" x14ac:dyDescent="0.25">
      <c r="B12" s="38" t="s">
        <v>17</v>
      </c>
      <c r="C12" s="39">
        <f>C11/C5</f>
        <v>4.5119635396885682E-2</v>
      </c>
      <c r="D12" s="40">
        <v>4.4999999999999998E-2</v>
      </c>
      <c r="E12" s="40">
        <v>5.0999999999999997E-2</v>
      </c>
      <c r="F12" s="40">
        <v>5.8000000000000003E-2</v>
      </c>
      <c r="G12" s="40">
        <v>5.8000000000000003E-2</v>
      </c>
      <c r="H12" s="40">
        <v>5.8000000000000003E-2</v>
      </c>
      <c r="I12" s="40">
        <v>5.8000000000000003E-2</v>
      </c>
      <c r="J12" s="105"/>
      <c r="K12" s="26" t="s">
        <v>86</v>
      </c>
      <c r="L12" s="53">
        <f>L7*L8</f>
        <v>12955.28593301462</v>
      </c>
      <c r="M12" s="105"/>
      <c r="N12" s="105"/>
      <c r="O12" s="105"/>
      <c r="P12" s="105"/>
      <c r="Q12" s="105"/>
      <c r="R12" s="105"/>
      <c r="S12" s="105"/>
      <c r="T12" s="105"/>
    </row>
    <row r="13" spans="2:22" ht="19" x14ac:dyDescent="0.25">
      <c r="B13" s="44"/>
      <c r="C13" s="28"/>
      <c r="D13" s="27"/>
      <c r="E13" s="27"/>
      <c r="F13" s="27"/>
      <c r="G13" s="27"/>
      <c r="H13" s="27"/>
      <c r="I13" s="27"/>
      <c r="J13" s="105"/>
      <c r="K13" s="54" t="s">
        <v>87</v>
      </c>
      <c r="L13" s="55">
        <f>L12/L15</f>
        <v>0.78747844810732781</v>
      </c>
      <c r="M13" s="105"/>
      <c r="N13" s="108"/>
      <c r="O13" s="109"/>
      <c r="P13" s="105"/>
      <c r="Q13" s="105"/>
      <c r="R13" s="105"/>
      <c r="S13" s="105"/>
      <c r="T13" s="105"/>
    </row>
    <row r="14" spans="2:22" ht="19" x14ac:dyDescent="0.25">
      <c r="B14" s="46" t="s">
        <v>9</v>
      </c>
      <c r="C14" s="33">
        <f>C8-C11</f>
        <v>320.89999999999998</v>
      </c>
      <c r="D14" s="51">
        <f t="shared" ref="D14:I14" si="4">D8-D11</f>
        <v>411.40625000000006</v>
      </c>
      <c r="E14" s="51">
        <f t="shared" si="4"/>
        <v>481.74026250000003</v>
      </c>
      <c r="F14" s="51">
        <f t="shared" si="4"/>
        <v>544.08312000000001</v>
      </c>
      <c r="G14" s="51">
        <f t="shared" si="4"/>
        <v>642.01808159999996</v>
      </c>
      <c r="H14" s="51">
        <f t="shared" si="4"/>
        <v>738.32079383999985</v>
      </c>
      <c r="I14" s="51">
        <f t="shared" si="4"/>
        <v>812.15287322400002</v>
      </c>
      <c r="J14" s="105"/>
      <c r="K14" s="26"/>
      <c r="L14" s="53"/>
      <c r="M14" s="105"/>
      <c r="N14" s="26"/>
      <c r="O14" s="110"/>
      <c r="P14" s="105"/>
      <c r="Q14" s="105"/>
      <c r="R14" s="467"/>
      <c r="S14" s="467"/>
      <c r="T14" s="105"/>
    </row>
    <row r="15" spans="2:22" ht="19" x14ac:dyDescent="0.25">
      <c r="B15" s="38" t="s">
        <v>10</v>
      </c>
      <c r="C15" s="39">
        <f t="shared" ref="C15:I15" si="5">C14/C5</f>
        <v>0.12187618685909608</v>
      </c>
      <c r="D15" s="40">
        <f t="shared" si="5"/>
        <v>0.12500000000000003</v>
      </c>
      <c r="E15" s="40">
        <f t="shared" si="5"/>
        <v>0.11900000000000001</v>
      </c>
      <c r="F15" s="40">
        <f t="shared" si="5"/>
        <v>0.11200000000000002</v>
      </c>
      <c r="G15" s="40">
        <f t="shared" si="5"/>
        <v>0.11200000000000002</v>
      </c>
      <c r="H15" s="40">
        <f t="shared" si="5"/>
        <v>0.112</v>
      </c>
      <c r="I15" s="40">
        <f t="shared" si="5"/>
        <v>0.11200000000000003</v>
      </c>
      <c r="J15" s="105"/>
      <c r="K15" s="26" t="s">
        <v>84</v>
      </c>
      <c r="L15" s="53">
        <f>L11+L12</f>
        <v>16451.606979406381</v>
      </c>
      <c r="M15" s="105"/>
      <c r="N15" s="26"/>
      <c r="O15" s="53"/>
      <c r="P15" s="105"/>
      <c r="Q15" s="105"/>
      <c r="R15" s="27"/>
      <c r="S15" s="111"/>
      <c r="T15" s="105"/>
    </row>
    <row r="16" spans="2:22" ht="19" x14ac:dyDescent="0.25">
      <c r="B16" s="44"/>
      <c r="C16" s="28"/>
      <c r="D16" s="27"/>
      <c r="E16" s="27"/>
      <c r="F16" s="27"/>
      <c r="G16" s="27"/>
      <c r="H16" s="27"/>
      <c r="I16" s="27"/>
      <c r="J16" s="105"/>
      <c r="K16" s="26"/>
      <c r="L16" s="57"/>
      <c r="M16" s="105"/>
      <c r="N16" s="54"/>
      <c r="O16" s="55"/>
      <c r="P16" s="105"/>
      <c r="Q16" s="105"/>
      <c r="R16" s="27"/>
      <c r="S16" s="111"/>
      <c r="T16" s="105"/>
    </row>
    <row r="17" spans="2:20" ht="19" x14ac:dyDescent="0.25">
      <c r="B17" s="46" t="s">
        <v>11</v>
      </c>
      <c r="C17" s="33">
        <f>Historicals!H18</f>
        <v>42.5</v>
      </c>
      <c r="D17" s="51">
        <f t="shared" ref="D17:I17" si="6">D14*D18</f>
        <v>69.93906250000002</v>
      </c>
      <c r="E17" s="51">
        <f t="shared" si="6"/>
        <v>81.895844625000009</v>
      </c>
      <c r="F17" s="51">
        <f t="shared" si="6"/>
        <v>114.2574552</v>
      </c>
      <c r="G17" s="51">
        <f t="shared" si="6"/>
        <v>134.823797136</v>
      </c>
      <c r="H17" s="51">
        <f t="shared" si="6"/>
        <v>155.04736670639997</v>
      </c>
      <c r="I17" s="51">
        <f t="shared" si="6"/>
        <v>170.55210337704</v>
      </c>
      <c r="J17" s="105"/>
      <c r="K17" s="134" t="s">
        <v>89</v>
      </c>
      <c r="L17" s="136"/>
      <c r="M17" s="105"/>
      <c r="N17" s="26"/>
      <c r="O17" s="53"/>
      <c r="P17" s="105"/>
      <c r="Q17" s="105"/>
      <c r="R17" s="26"/>
      <c r="S17" s="112"/>
      <c r="T17" s="105"/>
    </row>
    <row r="18" spans="2:20" ht="19" x14ac:dyDescent="0.25">
      <c r="B18" s="38" t="s">
        <v>13</v>
      </c>
      <c r="C18" s="56">
        <f>C17/C14</f>
        <v>0.13244001246494236</v>
      </c>
      <c r="D18" s="40">
        <v>0.17</v>
      </c>
      <c r="E18" s="40">
        <v>0.17</v>
      </c>
      <c r="F18" s="40">
        <v>0.21</v>
      </c>
      <c r="G18" s="40">
        <v>0.21</v>
      </c>
      <c r="H18" s="40">
        <v>0.21</v>
      </c>
      <c r="I18" s="40">
        <v>0.21</v>
      </c>
      <c r="J18" s="105"/>
      <c r="K18" s="26" t="s">
        <v>84</v>
      </c>
      <c r="L18" s="53">
        <f>L15</f>
        <v>16451.606979406381</v>
      </c>
      <c r="M18" s="105"/>
      <c r="N18" s="26"/>
      <c r="O18" s="53"/>
      <c r="P18" s="105"/>
      <c r="Q18" s="105"/>
      <c r="R18" s="26"/>
      <c r="S18" s="111"/>
      <c r="T18" s="105"/>
    </row>
    <row r="19" spans="2:20" ht="19" x14ac:dyDescent="0.25">
      <c r="B19" s="38"/>
      <c r="C19" s="40"/>
      <c r="D19" s="40"/>
      <c r="E19" s="40"/>
      <c r="F19" s="40"/>
      <c r="G19" s="40"/>
      <c r="H19" s="40"/>
      <c r="I19" s="40"/>
      <c r="J19" s="105"/>
      <c r="K19" s="26" t="s">
        <v>90</v>
      </c>
      <c r="L19" s="58">
        <f>-(65+319)</f>
        <v>-384</v>
      </c>
      <c r="M19" s="105"/>
      <c r="N19" s="26"/>
      <c r="O19" s="57"/>
      <c r="P19" s="105"/>
      <c r="Q19" s="105"/>
      <c r="R19" s="26"/>
      <c r="S19" s="113"/>
      <c r="T19" s="105"/>
    </row>
    <row r="20" spans="2:20" ht="19" x14ac:dyDescent="0.25">
      <c r="B20" s="130" t="s">
        <v>88</v>
      </c>
      <c r="C20" s="133">
        <v>2024</v>
      </c>
      <c r="D20" s="132">
        <v>2025</v>
      </c>
      <c r="E20" s="132">
        <v>2026</v>
      </c>
      <c r="F20" s="132">
        <v>2027</v>
      </c>
      <c r="G20" s="132">
        <v>2028</v>
      </c>
      <c r="H20" s="132">
        <v>2029</v>
      </c>
      <c r="I20" s="132">
        <v>2030</v>
      </c>
      <c r="J20" s="105"/>
      <c r="K20" s="26" t="s">
        <v>91</v>
      </c>
      <c r="L20" s="58">
        <v>0</v>
      </c>
      <c r="M20" s="105"/>
      <c r="N20" s="108"/>
      <c r="O20" s="114"/>
      <c r="P20" s="105"/>
      <c r="Q20" s="105"/>
      <c r="R20" s="105"/>
      <c r="S20" s="105"/>
      <c r="T20" s="105"/>
    </row>
    <row r="21" spans="2:20" ht="19" x14ac:dyDescent="0.25">
      <c r="B21" s="27"/>
      <c r="C21" s="28"/>
      <c r="D21" s="27"/>
      <c r="E21" s="27"/>
      <c r="F21" s="27"/>
      <c r="G21" s="27"/>
      <c r="H21" s="27"/>
      <c r="I21" s="27"/>
      <c r="J21" s="105"/>
      <c r="K21" s="26" t="s">
        <v>92</v>
      </c>
      <c r="L21" s="53">
        <v>1080</v>
      </c>
      <c r="M21" s="105"/>
      <c r="N21" s="26"/>
      <c r="O21" s="53"/>
      <c r="P21" s="105"/>
      <c r="Q21" s="105"/>
      <c r="R21" s="105"/>
      <c r="S21" s="105"/>
      <c r="T21" s="105"/>
    </row>
    <row r="22" spans="2:20" ht="19" x14ac:dyDescent="0.25">
      <c r="B22" s="46" t="s">
        <v>15</v>
      </c>
      <c r="C22" s="33">
        <f t="shared" ref="C22:I22" si="7">C14-C17</f>
        <v>278.39999999999998</v>
      </c>
      <c r="D22" s="34">
        <f t="shared" si="7"/>
        <v>341.46718750000002</v>
      </c>
      <c r="E22" s="34">
        <f t="shared" si="7"/>
        <v>399.84441787500003</v>
      </c>
      <c r="F22" s="34">
        <f t="shared" si="7"/>
        <v>429.82566480000003</v>
      </c>
      <c r="G22" s="34">
        <f t="shared" si="7"/>
        <v>507.19428446399996</v>
      </c>
      <c r="H22" s="34">
        <f t="shared" si="7"/>
        <v>583.27342713359985</v>
      </c>
      <c r="I22" s="34">
        <f t="shared" si="7"/>
        <v>641.60076984696002</v>
      </c>
      <c r="J22" s="105"/>
      <c r="K22" s="26" t="s">
        <v>93</v>
      </c>
      <c r="L22" s="53">
        <f>SUM(L18:L21)</f>
        <v>17147.606979406381</v>
      </c>
      <c r="M22" s="105"/>
      <c r="N22" s="26"/>
      <c r="O22" s="58"/>
      <c r="P22" s="105"/>
      <c r="Q22" s="105"/>
      <c r="R22" s="105"/>
      <c r="S22" s="105"/>
      <c r="T22" s="105"/>
    </row>
    <row r="23" spans="2:20" ht="19" x14ac:dyDescent="0.25">
      <c r="B23" s="44"/>
      <c r="C23" s="28"/>
      <c r="D23" s="27"/>
      <c r="E23" s="27"/>
      <c r="F23" s="27"/>
      <c r="G23" s="27"/>
      <c r="H23" s="27"/>
      <c r="I23" s="27"/>
      <c r="J23" s="105"/>
      <c r="K23" s="26" t="s">
        <v>94</v>
      </c>
      <c r="L23" s="96">
        <v>289.3</v>
      </c>
      <c r="M23" s="105"/>
      <c r="N23" s="26"/>
      <c r="O23" s="58"/>
      <c r="P23" s="105"/>
      <c r="Q23" s="105"/>
      <c r="R23" s="105"/>
      <c r="S23" s="105"/>
      <c r="T23" s="105"/>
    </row>
    <row r="24" spans="2:20" ht="20" thickBot="1" x14ac:dyDescent="0.3">
      <c r="B24" s="46" t="s">
        <v>16</v>
      </c>
      <c r="C24" s="33">
        <f t="shared" ref="C24:I24" si="8">C11</f>
        <v>118.8</v>
      </c>
      <c r="D24" s="34">
        <f t="shared" si="8"/>
        <v>148.10624999999999</v>
      </c>
      <c r="E24" s="34">
        <f t="shared" si="8"/>
        <v>206.46011249999998</v>
      </c>
      <c r="F24" s="34">
        <f t="shared" si="8"/>
        <v>281.75732999999997</v>
      </c>
      <c r="G24" s="34">
        <f t="shared" si="8"/>
        <v>332.47364939999994</v>
      </c>
      <c r="H24" s="34">
        <f t="shared" si="8"/>
        <v>382.3446968099999</v>
      </c>
      <c r="I24" s="34">
        <f t="shared" si="8"/>
        <v>420.57916649099991</v>
      </c>
      <c r="J24" s="105"/>
      <c r="K24" s="134" t="s">
        <v>95</v>
      </c>
      <c r="L24" s="415">
        <f>L22/L23</f>
        <v>59.272751397878949</v>
      </c>
      <c r="M24" s="105"/>
      <c r="N24" s="26"/>
      <c r="O24" s="53"/>
      <c r="P24" s="105"/>
      <c r="Q24" s="105"/>
      <c r="R24" s="105"/>
      <c r="S24" s="105"/>
      <c r="T24" s="105"/>
    </row>
    <row r="25" spans="2:20" ht="20" thickTop="1" x14ac:dyDescent="0.25">
      <c r="B25" s="38" t="s">
        <v>17</v>
      </c>
      <c r="C25" s="39">
        <f>C12</f>
        <v>4.5119635396885682E-2</v>
      </c>
      <c r="D25" s="40">
        <f t="shared" ref="D25:I25" si="9">D24/D5</f>
        <v>4.4999999999999998E-2</v>
      </c>
      <c r="E25" s="40">
        <f t="shared" si="9"/>
        <v>5.0999999999999997E-2</v>
      </c>
      <c r="F25" s="40">
        <f t="shared" si="9"/>
        <v>5.8000000000000003E-2</v>
      </c>
      <c r="G25" s="40">
        <f t="shared" si="9"/>
        <v>5.8000000000000003E-2</v>
      </c>
      <c r="H25" s="40">
        <f t="shared" si="9"/>
        <v>5.8000000000000003E-2</v>
      </c>
      <c r="I25" s="40">
        <f t="shared" si="9"/>
        <v>5.8000000000000003E-2</v>
      </c>
      <c r="J25" s="105"/>
      <c r="K25" s="105"/>
      <c r="L25" s="105"/>
      <c r="M25" s="105"/>
      <c r="N25" s="26"/>
      <c r="O25" s="53"/>
      <c r="P25" s="105"/>
      <c r="Q25" s="105"/>
      <c r="R25" s="105"/>
      <c r="S25" s="105"/>
      <c r="T25" s="105"/>
    </row>
    <row r="26" spans="2:20" ht="20" thickBot="1" x14ac:dyDescent="0.3">
      <c r="B26" s="44"/>
      <c r="C26" s="28"/>
      <c r="D26" s="27"/>
      <c r="E26" s="27"/>
      <c r="F26" s="27"/>
      <c r="G26" s="27"/>
      <c r="H26" s="27"/>
      <c r="I26" s="27"/>
      <c r="J26" s="105"/>
      <c r="K26" s="105"/>
      <c r="L26" s="105"/>
      <c r="M26" s="105"/>
      <c r="N26" s="26"/>
      <c r="O26" s="59"/>
      <c r="P26" s="105"/>
      <c r="Q26" s="105"/>
      <c r="R26" s="105"/>
      <c r="S26" s="105"/>
      <c r="T26" s="105"/>
    </row>
    <row r="27" spans="2:20" ht="20" thickBot="1" x14ac:dyDescent="0.3">
      <c r="B27" s="46" t="s">
        <v>18</v>
      </c>
      <c r="C27" s="60">
        <f>Historicals!H26</f>
        <v>-68.7</v>
      </c>
      <c r="D27" s="61">
        <f t="shared" ref="D27:I27" si="10">D5*D28</f>
        <v>-102.02875</v>
      </c>
      <c r="E27" s="61">
        <f t="shared" si="10"/>
        <v>-137.640075</v>
      </c>
      <c r="F27" s="61">
        <f t="shared" si="10"/>
        <v>-179.74174499999995</v>
      </c>
      <c r="G27" s="61">
        <f t="shared" si="10"/>
        <v>-229.29217199999997</v>
      </c>
      <c r="H27" s="61">
        <f t="shared" si="10"/>
        <v>-263.68599779999994</v>
      </c>
      <c r="I27" s="61">
        <f t="shared" si="10"/>
        <v>-290.05459757999995</v>
      </c>
      <c r="J27" s="105"/>
      <c r="K27" s="468" t="s">
        <v>97</v>
      </c>
      <c r="L27" s="469"/>
      <c r="M27" s="470" t="s">
        <v>110</v>
      </c>
      <c r="N27" s="470"/>
      <c r="O27" s="470"/>
      <c r="P27" s="470"/>
      <c r="Q27" s="471"/>
      <c r="R27" s="351"/>
      <c r="S27" s="105"/>
      <c r="T27" s="105"/>
    </row>
    <row r="28" spans="2:20" ht="19" x14ac:dyDescent="0.25">
      <c r="B28" s="38" t="s">
        <v>19</v>
      </c>
      <c r="C28" s="39">
        <f>C27/C5</f>
        <v>-2.6091910368401066E-2</v>
      </c>
      <c r="D28" s="40">
        <v>-3.1E-2</v>
      </c>
      <c r="E28" s="40">
        <v>-3.4000000000000002E-2</v>
      </c>
      <c r="F28" s="40">
        <v>-3.6999999999999998E-2</v>
      </c>
      <c r="G28" s="40">
        <v>-0.04</v>
      </c>
      <c r="H28" s="40">
        <v>-0.04</v>
      </c>
      <c r="I28" s="40">
        <v>-0.04</v>
      </c>
      <c r="J28" s="105"/>
      <c r="K28" s="115"/>
      <c r="L28" s="116">
        <f>L24</f>
        <v>59.272751397878949</v>
      </c>
      <c r="M28" s="73">
        <f>N28-1</f>
        <v>15.55</v>
      </c>
      <c r="N28" s="73">
        <f>O28-1</f>
        <v>16.55</v>
      </c>
      <c r="O28" s="73">
        <v>17.55</v>
      </c>
      <c r="P28" s="73">
        <f>O28+1</f>
        <v>18.55</v>
      </c>
      <c r="Q28" s="117">
        <f>P28+1</f>
        <v>19.55</v>
      </c>
      <c r="R28" s="105"/>
      <c r="S28" s="105"/>
      <c r="T28" s="105"/>
    </row>
    <row r="29" spans="2:20" ht="19" x14ac:dyDescent="0.25">
      <c r="B29" s="44"/>
      <c r="C29" s="28"/>
      <c r="D29" s="27"/>
      <c r="E29" s="27"/>
      <c r="F29" s="27"/>
      <c r="G29" s="27"/>
      <c r="H29" s="27"/>
      <c r="I29" s="27"/>
      <c r="J29" s="105"/>
      <c r="K29" s="463" t="s">
        <v>72</v>
      </c>
      <c r="L29" s="118">
        <v>9.8000000000000004E-2</v>
      </c>
      <c r="M29" s="119">
        <f t="dataTable" ref="M29:Q33" dt2D="1" dtr="1" r1="L6" r2="C39" ca="1"/>
        <v>62.520749325449358</v>
      </c>
      <c r="N29" s="120">
        <v>65.592684591843877</v>
      </c>
      <c r="O29" s="120">
        <v>68.66461985823841</v>
      </c>
      <c r="P29" s="120">
        <v>71.736555124632929</v>
      </c>
      <c r="Q29" s="121">
        <v>74.808490391027448</v>
      </c>
      <c r="R29" s="105"/>
      <c r="S29" s="105"/>
      <c r="T29" s="105"/>
    </row>
    <row r="30" spans="2:20" ht="19" x14ac:dyDescent="0.25">
      <c r="B30" s="46" t="s">
        <v>96</v>
      </c>
      <c r="C30" s="60">
        <f>Historicals!H29</f>
        <v>161.1</v>
      </c>
      <c r="D30" s="61">
        <f>D31*D5</f>
        <v>131.65</v>
      </c>
      <c r="E30" s="61">
        <f t="shared" ref="E30:I30" si="11">E31*E5</f>
        <v>141.68831249999999</v>
      </c>
      <c r="F30" s="61">
        <f t="shared" si="11"/>
        <v>170.02597499999999</v>
      </c>
      <c r="G30" s="61">
        <f t="shared" si="11"/>
        <v>171.96912899999995</v>
      </c>
      <c r="H30" s="61">
        <f t="shared" si="11"/>
        <v>197.76449834999994</v>
      </c>
      <c r="I30" s="61">
        <f t="shared" si="11"/>
        <v>181.28412348749998</v>
      </c>
      <c r="J30" s="105"/>
      <c r="K30" s="463"/>
      <c r="L30" s="118">
        <v>0.10299999999999999</v>
      </c>
      <c r="M30" s="122">
        <v>61.635616354914781</v>
      </c>
      <c r="N30" s="123">
        <v>64.659088393870206</v>
      </c>
      <c r="O30" s="123">
        <v>67.682560432825653</v>
      </c>
      <c r="P30" s="123">
        <v>70.706032471781086</v>
      </c>
      <c r="Q30" s="124">
        <v>73.729504510736518</v>
      </c>
      <c r="R30" s="105"/>
      <c r="S30" s="105"/>
      <c r="T30" s="105"/>
    </row>
    <row r="31" spans="2:20" ht="19" x14ac:dyDescent="0.25">
      <c r="B31" s="38" t="s">
        <v>22</v>
      </c>
      <c r="C31" s="39">
        <f>C30/C5</f>
        <v>6.1184960121534369E-2</v>
      </c>
      <c r="D31" s="40">
        <v>0.04</v>
      </c>
      <c r="E31" s="40">
        <v>3.5000000000000003E-2</v>
      </c>
      <c r="F31" s="40">
        <v>3.5000000000000003E-2</v>
      </c>
      <c r="G31" s="40">
        <v>0.03</v>
      </c>
      <c r="H31" s="40">
        <v>0.03</v>
      </c>
      <c r="I31" s="40">
        <v>2.5000000000000001E-2</v>
      </c>
      <c r="J31" s="105"/>
      <c r="K31" s="463"/>
      <c r="L31" s="118">
        <v>0.108</v>
      </c>
      <c r="M31" s="122">
        <v>60.767862509390689</v>
      </c>
      <c r="N31" s="123">
        <v>63.743849913864068</v>
      </c>
      <c r="O31" s="125">
        <v>66.719837318337426</v>
      </c>
      <c r="P31" s="123">
        <v>69.695824722810798</v>
      </c>
      <c r="Q31" s="124">
        <v>72.671812127284184</v>
      </c>
      <c r="R31" s="105"/>
      <c r="S31" s="105"/>
      <c r="T31" s="105"/>
    </row>
    <row r="32" spans="2:20" ht="19" x14ac:dyDescent="0.25">
      <c r="B32" s="44"/>
      <c r="C32" s="28"/>
      <c r="D32" s="27"/>
      <c r="E32" s="27"/>
      <c r="F32" s="27"/>
      <c r="G32" s="27"/>
      <c r="H32" s="27"/>
      <c r="I32" s="27"/>
      <c r="J32" s="105"/>
      <c r="K32" s="463"/>
      <c r="L32" s="118">
        <v>0.113</v>
      </c>
      <c r="M32" s="122">
        <v>59.917067358374659</v>
      </c>
      <c r="N32" s="123">
        <v>62.846524677927839</v>
      </c>
      <c r="O32" s="123">
        <v>65.775981997481011</v>
      </c>
      <c r="P32" s="123">
        <v>68.705439317034191</v>
      </c>
      <c r="Q32" s="124">
        <v>71.634896636587385</v>
      </c>
      <c r="R32" s="105"/>
      <c r="S32" s="105"/>
      <c r="T32" s="105"/>
    </row>
    <row r="33" spans="2:20" ht="20" thickBot="1" x14ac:dyDescent="0.3">
      <c r="B33" s="46" t="s">
        <v>99</v>
      </c>
      <c r="C33" s="63">
        <f t="shared" ref="C33:I33" si="12">C22+C24+C27+C30</f>
        <v>489.6</v>
      </c>
      <c r="D33" s="64">
        <f t="shared" si="12"/>
        <v>519.19468749999999</v>
      </c>
      <c r="E33" s="64">
        <f t="shared" si="12"/>
        <v>610.35276787499993</v>
      </c>
      <c r="F33" s="64">
        <f t="shared" si="12"/>
        <v>701.86722480000014</v>
      </c>
      <c r="G33" s="64">
        <f t="shared" si="12"/>
        <v>782.34489086399992</v>
      </c>
      <c r="H33" s="64">
        <f t="shared" si="12"/>
        <v>899.69662449359976</v>
      </c>
      <c r="I33" s="64">
        <f t="shared" si="12"/>
        <v>953.40946224546008</v>
      </c>
      <c r="J33" s="105"/>
      <c r="K33" s="464"/>
      <c r="L33" s="126">
        <v>0.11799999999999999</v>
      </c>
      <c r="M33" s="127">
        <v>59.082822504729606</v>
      </c>
      <c r="N33" s="128">
        <v>61.966680940557865</v>
      </c>
      <c r="O33" s="128">
        <v>64.850539376386124</v>
      </c>
      <c r="P33" s="128">
        <v>67.734397812214382</v>
      </c>
      <c r="Q33" s="129">
        <v>70.618256248042641</v>
      </c>
      <c r="R33" s="105"/>
      <c r="S33" s="105"/>
      <c r="T33" s="105"/>
    </row>
    <row r="34" spans="2:20" ht="19" x14ac:dyDescent="0.25">
      <c r="B34" s="27"/>
      <c r="C34" s="27"/>
      <c r="D34" s="27"/>
      <c r="E34" s="27"/>
      <c r="F34" s="27"/>
      <c r="G34" s="27"/>
      <c r="H34" s="27"/>
      <c r="I34" s="27"/>
      <c r="J34" s="105"/>
      <c r="K34" s="108"/>
      <c r="L34" s="109"/>
      <c r="M34" s="105"/>
      <c r="N34" s="105"/>
      <c r="O34" s="105"/>
      <c r="P34" s="105"/>
      <c r="Q34" s="105"/>
      <c r="R34" s="105"/>
      <c r="S34" s="105"/>
      <c r="T34" s="105"/>
    </row>
    <row r="35" spans="2:20" ht="19" x14ac:dyDescent="0.25">
      <c r="B35" s="130" t="s">
        <v>100</v>
      </c>
      <c r="C35" s="133">
        <v>2024</v>
      </c>
      <c r="D35" s="132">
        <v>2025</v>
      </c>
      <c r="E35" s="132">
        <v>2026</v>
      </c>
      <c r="F35" s="132">
        <v>2027</v>
      </c>
      <c r="G35" s="132">
        <v>2028</v>
      </c>
      <c r="H35" s="132">
        <v>2029</v>
      </c>
      <c r="I35" s="132">
        <v>2030</v>
      </c>
      <c r="J35" s="105"/>
      <c r="K35" s="26"/>
      <c r="L35" s="107"/>
      <c r="M35" s="105"/>
      <c r="N35" s="105"/>
      <c r="O35" s="105"/>
      <c r="P35" s="105"/>
      <c r="Q35" s="105"/>
      <c r="R35" s="105"/>
      <c r="S35" s="105"/>
      <c r="T35" s="105"/>
    </row>
    <row r="36" spans="2:20" ht="19" x14ac:dyDescent="0.25">
      <c r="B36" s="27"/>
      <c r="C36" s="28"/>
      <c r="D36" s="27"/>
      <c r="E36" s="27"/>
      <c r="F36" s="27"/>
      <c r="G36" s="27"/>
      <c r="H36" s="27"/>
      <c r="I36" s="27"/>
      <c r="J36" s="105"/>
      <c r="K36" s="384"/>
      <c r="L36" s="53"/>
      <c r="M36" s="105"/>
      <c r="N36" s="105"/>
      <c r="O36" s="105"/>
      <c r="P36" s="105"/>
      <c r="Q36" s="105"/>
      <c r="R36" s="105"/>
      <c r="S36" s="105"/>
      <c r="T36" s="105"/>
    </row>
    <row r="37" spans="2:20" ht="19" x14ac:dyDescent="0.25">
      <c r="B37" s="32" t="s">
        <v>101</v>
      </c>
      <c r="C37" s="65">
        <v>0.5</v>
      </c>
      <c r="D37" s="66">
        <v>1</v>
      </c>
      <c r="E37" s="66">
        <v>1.5</v>
      </c>
      <c r="F37" s="66">
        <v>2</v>
      </c>
      <c r="G37" s="66">
        <v>2.5</v>
      </c>
      <c r="H37" s="66">
        <v>3</v>
      </c>
      <c r="I37" s="66">
        <v>3.5</v>
      </c>
      <c r="J37" s="105"/>
      <c r="K37" s="385"/>
      <c r="L37" s="55"/>
      <c r="M37" s="105"/>
      <c r="N37" s="105"/>
      <c r="O37" s="105"/>
      <c r="P37" s="105"/>
      <c r="Q37" s="105"/>
      <c r="R37" s="105"/>
      <c r="S37" s="105"/>
      <c r="T37" s="105"/>
    </row>
    <row r="38" spans="2:20" ht="19" x14ac:dyDescent="0.25">
      <c r="B38" s="27"/>
      <c r="C38" s="28"/>
      <c r="D38" s="27"/>
      <c r="E38" s="27"/>
      <c r="F38" s="27"/>
      <c r="G38" s="27"/>
      <c r="H38" s="27"/>
      <c r="I38" s="27"/>
      <c r="J38" s="105"/>
      <c r="K38" s="384"/>
      <c r="L38" s="53"/>
      <c r="M38" s="105"/>
      <c r="N38" s="105"/>
      <c r="O38" s="105"/>
      <c r="P38" s="105"/>
      <c r="Q38" s="105"/>
      <c r="R38" s="105"/>
      <c r="S38" s="105"/>
      <c r="T38" s="105"/>
    </row>
    <row r="39" spans="2:20" ht="19" x14ac:dyDescent="0.25">
      <c r="B39" s="32" t="s">
        <v>72</v>
      </c>
      <c r="C39" s="67">
        <v>0.108</v>
      </c>
      <c r="D39" s="68">
        <f t="shared" ref="D39:I39" si="13">C39</f>
        <v>0.108</v>
      </c>
      <c r="E39" s="68">
        <f t="shared" si="13"/>
        <v>0.108</v>
      </c>
      <c r="F39" s="68">
        <f t="shared" si="13"/>
        <v>0.108</v>
      </c>
      <c r="G39" s="68">
        <f t="shared" si="13"/>
        <v>0.108</v>
      </c>
      <c r="H39" s="68">
        <f t="shared" si="13"/>
        <v>0.108</v>
      </c>
      <c r="I39" s="68">
        <f t="shared" si="13"/>
        <v>0.108</v>
      </c>
      <c r="J39" s="105"/>
      <c r="K39" s="384"/>
      <c r="L39" s="53"/>
      <c r="M39" s="105"/>
      <c r="N39" s="105"/>
      <c r="O39" s="105"/>
      <c r="P39" s="105"/>
      <c r="Q39" s="105"/>
      <c r="R39" s="105"/>
      <c r="S39" s="105"/>
      <c r="T39" s="105"/>
    </row>
    <row r="40" spans="2:20" ht="19" x14ac:dyDescent="0.25">
      <c r="B40" s="27"/>
      <c r="C40" s="28"/>
      <c r="D40" s="27"/>
      <c r="E40" s="27"/>
      <c r="F40" s="27"/>
      <c r="G40" s="27"/>
      <c r="H40" s="27"/>
      <c r="I40" s="27"/>
      <c r="J40" s="105"/>
      <c r="K40" s="26"/>
      <c r="L40" s="57"/>
      <c r="M40" s="105"/>
      <c r="N40" s="105"/>
      <c r="O40" s="105"/>
      <c r="P40" s="105"/>
      <c r="Q40" s="105"/>
      <c r="R40" s="105"/>
      <c r="S40" s="105"/>
      <c r="T40" s="105"/>
    </row>
    <row r="41" spans="2:20" ht="19" x14ac:dyDescent="0.25">
      <c r="B41" s="32" t="s">
        <v>102</v>
      </c>
      <c r="C41" s="69">
        <f>(1/((1+$J$38)^C37))</f>
        <v>1</v>
      </c>
      <c r="D41" s="70">
        <f t="shared" ref="D41:I41" si="14">(1/((1+$C$39)^D37))</f>
        <v>0.90252707581227432</v>
      </c>
      <c r="E41" s="70">
        <f t="shared" si="14"/>
        <v>0.8574135833218709</v>
      </c>
      <c r="F41" s="70">
        <f t="shared" si="14"/>
        <v>0.81455512257425466</v>
      </c>
      <c r="G41" s="70">
        <f t="shared" si="14"/>
        <v>0.77383897411721181</v>
      </c>
      <c r="H41" s="70">
        <f t="shared" si="14"/>
        <v>0.7351580528648507</v>
      </c>
      <c r="I41" s="70">
        <f t="shared" si="14"/>
        <v>0.69841062645957752</v>
      </c>
      <c r="J41" s="105"/>
      <c r="K41" s="108"/>
      <c r="L41" s="114"/>
      <c r="M41" s="105"/>
      <c r="N41" s="105"/>
      <c r="O41" s="105"/>
      <c r="P41" s="105"/>
      <c r="Q41" s="105"/>
      <c r="R41" s="105"/>
      <c r="S41" s="105"/>
      <c r="T41" s="105"/>
    </row>
    <row r="42" spans="2:20" ht="19" x14ac:dyDescent="0.25">
      <c r="B42" s="27"/>
      <c r="C42" s="28"/>
      <c r="D42" s="27"/>
      <c r="E42" s="27"/>
      <c r="F42" s="27"/>
      <c r="G42" s="27"/>
      <c r="H42" s="27"/>
      <c r="I42" s="27"/>
      <c r="J42" s="105"/>
      <c r="K42" s="384"/>
      <c r="L42" s="53"/>
      <c r="M42" s="105"/>
      <c r="N42" s="105"/>
      <c r="O42" s="105"/>
      <c r="P42" s="105"/>
      <c r="Q42" s="105"/>
      <c r="R42" s="105"/>
      <c r="S42" s="105"/>
      <c r="T42" s="105"/>
    </row>
    <row r="43" spans="2:20" ht="19" x14ac:dyDescent="0.25">
      <c r="B43" s="32" t="s">
        <v>103</v>
      </c>
      <c r="C43" s="71">
        <f t="shared" ref="C43:I43" si="15">C33*C41</f>
        <v>489.6</v>
      </c>
      <c r="D43" s="72">
        <f t="shared" si="15"/>
        <v>468.58726308664257</v>
      </c>
      <c r="E43" s="72">
        <f t="shared" si="15"/>
        <v>523.32475379412574</v>
      </c>
      <c r="F43" s="72">
        <f t="shared" si="15"/>
        <v>571.70954332781605</v>
      </c>
      <c r="G43" s="72">
        <f t="shared" si="15"/>
        <v>605.40896775203976</v>
      </c>
      <c r="H43" s="72">
        <f t="shared" si="15"/>
        <v>661.41921863179357</v>
      </c>
      <c r="I43" s="72">
        <f t="shared" si="15"/>
        <v>665.8712997993407</v>
      </c>
      <c r="J43" s="105"/>
      <c r="K43" s="384"/>
      <c r="L43" s="58"/>
      <c r="M43" s="105"/>
      <c r="N43" s="105"/>
      <c r="O43" s="105"/>
      <c r="P43" s="105"/>
      <c r="Q43" s="105"/>
      <c r="R43" s="105"/>
      <c r="S43" s="105"/>
      <c r="T43" s="105"/>
    </row>
  </sheetData>
  <mergeCells count="6">
    <mergeCell ref="K29:K33"/>
    <mergeCell ref="K3:L3"/>
    <mergeCell ref="N3:O3"/>
    <mergeCell ref="R14:S14"/>
    <mergeCell ref="K27:L27"/>
    <mergeCell ref="M27:Q27"/>
  </mergeCells>
  <conditionalFormatting sqref="M29:Q3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C12F4-6001-8C4B-ACAE-617EFF9D3058}">
  <sheetPr>
    <tabColor rgb="FF0070C0"/>
  </sheetPr>
  <dimension ref="B1:V43"/>
  <sheetViews>
    <sheetView topLeftCell="B1" zoomScale="68" zoomScaleNormal="54" workbookViewId="0">
      <selection activeCell="L8" sqref="L8"/>
    </sheetView>
  </sheetViews>
  <sheetFormatPr baseColWidth="10" defaultColWidth="8.6640625" defaultRowHeight="15" x14ac:dyDescent="0.2"/>
  <cols>
    <col min="1" max="1" width="8.6640625" style="25"/>
    <col min="2" max="2" width="44" style="25" customWidth="1"/>
    <col min="3" max="10" width="16.6640625" style="25" customWidth="1"/>
    <col min="11" max="11" width="36.1640625" style="25" customWidth="1"/>
    <col min="12" max="12" width="14.6640625" style="25" customWidth="1"/>
    <col min="13" max="22" width="16.6640625" style="25" customWidth="1"/>
    <col min="23" max="16384" width="8.6640625" style="25"/>
  </cols>
  <sheetData>
    <row r="1" spans="2:22" ht="45" x14ac:dyDescent="0.45">
      <c r="B1" s="361" t="s">
        <v>104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</row>
    <row r="3" spans="2:22" ht="19" x14ac:dyDescent="0.25">
      <c r="B3" s="130" t="s">
        <v>68</v>
      </c>
      <c r="C3" s="131">
        <v>2024</v>
      </c>
      <c r="D3" s="132">
        <v>2025</v>
      </c>
      <c r="E3" s="132">
        <v>2026</v>
      </c>
      <c r="F3" s="132">
        <v>2027</v>
      </c>
      <c r="G3" s="132">
        <v>2028</v>
      </c>
      <c r="H3" s="132">
        <v>2029</v>
      </c>
      <c r="I3" s="132">
        <v>2030</v>
      </c>
      <c r="J3" s="105"/>
      <c r="K3" s="465" t="s">
        <v>105</v>
      </c>
      <c r="L3" s="465"/>
      <c r="M3" s="105"/>
      <c r="N3" s="466"/>
      <c r="O3" s="466"/>
      <c r="P3" s="105"/>
      <c r="Q3" s="105"/>
      <c r="R3" s="105"/>
      <c r="S3" s="105"/>
      <c r="T3" s="105"/>
    </row>
    <row r="4" spans="2:22" ht="19" x14ac:dyDescent="0.25">
      <c r="B4" s="27"/>
      <c r="C4" s="28" t="s">
        <v>71</v>
      </c>
      <c r="D4" s="27"/>
      <c r="E4" s="27"/>
      <c r="F4" s="27"/>
      <c r="G4" s="27"/>
      <c r="H4" s="27"/>
      <c r="I4" s="27"/>
      <c r="J4" s="105"/>
      <c r="K4" s="26" t="s">
        <v>72</v>
      </c>
      <c r="L4" s="29">
        <f>C39</f>
        <v>0.108</v>
      </c>
      <c r="M4" s="105"/>
      <c r="N4" s="105"/>
      <c r="O4" s="105"/>
      <c r="P4" s="105"/>
      <c r="Q4" s="105"/>
      <c r="R4" s="105"/>
      <c r="S4" s="105"/>
      <c r="T4" s="105"/>
    </row>
    <row r="5" spans="2:22" ht="19" x14ac:dyDescent="0.25">
      <c r="B5" s="32" t="s">
        <v>1</v>
      </c>
      <c r="C5" s="33">
        <f>Historicals!H6</f>
        <v>2633</v>
      </c>
      <c r="D5" s="34">
        <f t="shared" ref="D5:I5" si="0">C5*(1+D6)</f>
        <v>3396.57</v>
      </c>
      <c r="E5" s="34">
        <f t="shared" si="0"/>
        <v>4313.6439</v>
      </c>
      <c r="F5" s="34">
        <f t="shared" si="0"/>
        <v>5392.0548749999998</v>
      </c>
      <c r="G5" s="34">
        <f t="shared" si="0"/>
        <v>6524.3863987499999</v>
      </c>
      <c r="H5" s="34">
        <f t="shared" si="0"/>
        <v>7633.5320865374997</v>
      </c>
      <c r="I5" s="34">
        <f t="shared" si="0"/>
        <v>8778.5618995181248</v>
      </c>
      <c r="J5" s="105"/>
      <c r="K5" s="26" t="s">
        <v>106</v>
      </c>
      <c r="L5" s="106">
        <f>I8</f>
        <v>1536.2483324156719</v>
      </c>
      <c r="M5" s="105"/>
      <c r="N5" s="105"/>
      <c r="O5" s="105"/>
      <c r="P5" s="105"/>
      <c r="Q5" s="105"/>
      <c r="R5" s="105"/>
      <c r="S5" s="105"/>
      <c r="T5" s="105"/>
    </row>
    <row r="6" spans="2:22" ht="19" x14ac:dyDescent="0.25">
      <c r="B6" s="38" t="s">
        <v>3</v>
      </c>
      <c r="C6" s="39">
        <f>Historicals!H7</f>
        <v>0.31946880481082429</v>
      </c>
      <c r="D6" s="40">
        <v>0.28999999999999998</v>
      </c>
      <c r="E6" s="40">
        <v>0.27</v>
      </c>
      <c r="F6" s="40">
        <v>0.25</v>
      </c>
      <c r="G6" s="40">
        <v>0.21</v>
      </c>
      <c r="H6" s="40">
        <v>0.17</v>
      </c>
      <c r="I6" s="40">
        <v>0.15</v>
      </c>
      <c r="J6" s="105"/>
      <c r="K6" s="26" t="s">
        <v>107</v>
      </c>
      <c r="L6" s="383">
        <f>'Multiples Valuations'!K30</f>
        <v>17.55</v>
      </c>
      <c r="M6" s="404"/>
      <c r="N6" s="410"/>
      <c r="O6" s="105"/>
      <c r="P6" s="105"/>
      <c r="Q6" s="105"/>
      <c r="R6" s="105"/>
      <c r="S6" s="105"/>
      <c r="T6" s="105"/>
    </row>
    <row r="7" spans="2:22" ht="19" x14ac:dyDescent="0.25">
      <c r="B7" s="44"/>
      <c r="C7" s="28"/>
      <c r="D7" s="27"/>
      <c r="E7" s="27"/>
      <c r="F7" s="27"/>
      <c r="G7" s="27"/>
      <c r="H7" s="27"/>
      <c r="I7" s="27"/>
      <c r="J7" s="105"/>
      <c r="K7" s="26" t="s">
        <v>82</v>
      </c>
      <c r="L7" s="106">
        <f>L5*L6</f>
        <v>26961.158233895043</v>
      </c>
      <c r="M7" s="105"/>
      <c r="N7" s="105"/>
      <c r="O7" s="105"/>
      <c r="P7" s="105"/>
      <c r="Q7" s="105"/>
      <c r="R7" s="105"/>
      <c r="S7" s="105"/>
      <c r="T7" s="105"/>
    </row>
    <row r="8" spans="2:22" ht="19" x14ac:dyDescent="0.25">
      <c r="B8" s="46" t="s">
        <v>4</v>
      </c>
      <c r="C8" s="33">
        <f>C5*C9</f>
        <v>439.71100000000001</v>
      </c>
      <c r="D8" s="34">
        <f t="shared" ref="D8:I8" si="1">D9*D5</f>
        <v>577.41690000000006</v>
      </c>
      <c r="E8" s="34">
        <f t="shared" si="1"/>
        <v>737.63310690000003</v>
      </c>
      <c r="F8" s="34">
        <f t="shared" si="1"/>
        <v>927.43343850000008</v>
      </c>
      <c r="G8" s="34">
        <f t="shared" si="1"/>
        <v>1128.7188469837502</v>
      </c>
      <c r="H8" s="34">
        <f t="shared" si="1"/>
        <v>1328.234583057525</v>
      </c>
      <c r="I8" s="34">
        <f t="shared" si="1"/>
        <v>1536.2483324156719</v>
      </c>
      <c r="J8" s="105"/>
      <c r="K8" s="26" t="s">
        <v>83</v>
      </c>
      <c r="L8" s="50">
        <f>1/((1+I39)^(I3-D3))</f>
        <v>0.59882675786277884</v>
      </c>
      <c r="M8" s="105"/>
      <c r="N8" s="105"/>
      <c r="O8" s="105"/>
      <c r="P8" s="105"/>
      <c r="Q8" s="105"/>
      <c r="R8" s="105"/>
      <c r="S8" s="105"/>
      <c r="T8" s="105"/>
    </row>
    <row r="9" spans="2:22" ht="19" x14ac:dyDescent="0.25">
      <c r="B9" s="38" t="s">
        <v>6</v>
      </c>
      <c r="C9" s="39">
        <v>0.16700000000000001</v>
      </c>
      <c r="D9" s="40">
        <v>0.17</v>
      </c>
      <c r="E9" s="40">
        <f>D9+0.001</f>
        <v>0.17100000000000001</v>
      </c>
      <c r="F9" s="40">
        <f t="shared" ref="F9:I9" si="2">E9+0.001</f>
        <v>0.17200000000000001</v>
      </c>
      <c r="G9" s="40">
        <f t="shared" si="2"/>
        <v>0.17300000000000001</v>
      </c>
      <c r="H9" s="40">
        <f t="shared" si="2"/>
        <v>0.17400000000000002</v>
      </c>
      <c r="I9" s="40">
        <f t="shared" si="2"/>
        <v>0.17500000000000002</v>
      </c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</row>
    <row r="10" spans="2:22" ht="19" x14ac:dyDescent="0.25">
      <c r="B10" s="44"/>
      <c r="C10" s="28"/>
      <c r="D10" s="27"/>
      <c r="E10" s="27"/>
      <c r="F10" s="27"/>
      <c r="G10" s="27"/>
      <c r="H10" s="27"/>
      <c r="I10" s="27"/>
      <c r="J10" s="105"/>
      <c r="K10" s="134" t="s">
        <v>108</v>
      </c>
      <c r="L10" s="135"/>
      <c r="M10" s="105"/>
      <c r="N10" s="105"/>
      <c r="O10" s="105"/>
      <c r="P10" s="105"/>
      <c r="Q10" s="105"/>
      <c r="R10" s="105"/>
      <c r="S10" s="105"/>
      <c r="T10" s="105"/>
    </row>
    <row r="11" spans="2:22" ht="19" x14ac:dyDescent="0.25">
      <c r="B11" s="46" t="s">
        <v>7</v>
      </c>
      <c r="C11" s="33">
        <f>Historicals!H12</f>
        <v>118.8</v>
      </c>
      <c r="D11" s="34">
        <f t="shared" ref="D11:I11" si="3">D12*D5</f>
        <v>152.84565000000001</v>
      </c>
      <c r="E11" s="34">
        <f t="shared" si="3"/>
        <v>219.9958389</v>
      </c>
      <c r="F11" s="34">
        <f t="shared" si="3"/>
        <v>312.73918275</v>
      </c>
      <c r="G11" s="34">
        <f t="shared" si="3"/>
        <v>378.41441112749999</v>
      </c>
      <c r="H11" s="34">
        <f t="shared" si="3"/>
        <v>442.744861019175</v>
      </c>
      <c r="I11" s="34">
        <f t="shared" si="3"/>
        <v>509.15659017205127</v>
      </c>
      <c r="J11" s="105"/>
      <c r="K11" s="26" t="s">
        <v>85</v>
      </c>
      <c r="L11" s="107">
        <f>SUM(D43:I43)</f>
        <v>4000.7954662613279</v>
      </c>
      <c r="M11" s="105"/>
      <c r="N11" s="26"/>
      <c r="O11" s="50"/>
      <c r="P11" s="105"/>
      <c r="Q11" s="105"/>
      <c r="R11" s="105"/>
      <c r="S11" s="105"/>
      <c r="T11" s="105"/>
    </row>
    <row r="12" spans="2:22" ht="19" x14ac:dyDescent="0.25">
      <c r="B12" s="38" t="s">
        <v>17</v>
      </c>
      <c r="C12" s="39">
        <f>C11/C5</f>
        <v>4.5119635396885682E-2</v>
      </c>
      <c r="D12" s="40">
        <v>4.4999999999999998E-2</v>
      </c>
      <c r="E12" s="40">
        <v>5.0999999999999997E-2</v>
      </c>
      <c r="F12" s="40">
        <v>5.8000000000000003E-2</v>
      </c>
      <c r="G12" s="40">
        <v>5.8000000000000003E-2</v>
      </c>
      <c r="H12" s="40">
        <v>5.8000000000000003E-2</v>
      </c>
      <c r="I12" s="40">
        <v>5.8000000000000003E-2</v>
      </c>
      <c r="J12" s="105"/>
      <c r="K12" s="26" t="s">
        <v>86</v>
      </c>
      <c r="L12" s="53">
        <f>L7*L8</f>
        <v>16145.062973428732</v>
      </c>
      <c r="M12" s="105"/>
      <c r="N12" s="105"/>
      <c r="O12" s="105"/>
      <c r="P12" s="105"/>
      <c r="Q12" s="105"/>
      <c r="R12" s="105"/>
      <c r="S12" s="105"/>
      <c r="T12" s="105"/>
    </row>
    <row r="13" spans="2:22" ht="19" x14ac:dyDescent="0.25">
      <c r="B13" s="44"/>
      <c r="C13" s="28"/>
      <c r="D13" s="27"/>
      <c r="E13" s="27"/>
      <c r="F13" s="27"/>
      <c r="G13" s="27"/>
      <c r="H13" s="27"/>
      <c r="I13" s="27"/>
      <c r="J13" s="105"/>
      <c r="K13" s="54" t="s">
        <v>87</v>
      </c>
      <c r="L13" s="55">
        <f>L12/L15</f>
        <v>0.80140853872083107</v>
      </c>
      <c r="M13" s="105"/>
      <c r="N13" s="108"/>
      <c r="O13" s="109"/>
      <c r="P13" s="105"/>
      <c r="Q13" s="105"/>
      <c r="R13" s="105"/>
      <c r="S13" s="105"/>
      <c r="T13" s="105"/>
    </row>
    <row r="14" spans="2:22" ht="19" x14ac:dyDescent="0.25">
      <c r="B14" s="46" t="s">
        <v>9</v>
      </c>
      <c r="C14" s="33">
        <f>C8-C11</f>
        <v>320.911</v>
      </c>
      <c r="D14" s="51">
        <f t="shared" ref="D14:I14" si="4">D8-D11</f>
        <v>424.57125000000008</v>
      </c>
      <c r="E14" s="51">
        <f t="shared" si="4"/>
        <v>517.63726800000006</v>
      </c>
      <c r="F14" s="51">
        <f t="shared" si="4"/>
        <v>614.69425575000014</v>
      </c>
      <c r="G14" s="51">
        <f t="shared" si="4"/>
        <v>750.30443585625017</v>
      </c>
      <c r="H14" s="51">
        <f t="shared" si="4"/>
        <v>885.48972203835001</v>
      </c>
      <c r="I14" s="51">
        <f t="shared" si="4"/>
        <v>1027.0917422436207</v>
      </c>
      <c r="J14" s="105"/>
      <c r="K14" s="26"/>
      <c r="L14" s="53"/>
      <c r="M14" s="105"/>
      <c r="N14" s="26"/>
      <c r="O14" s="110"/>
      <c r="P14" s="105"/>
      <c r="Q14" s="105"/>
      <c r="R14" s="467"/>
      <c r="S14" s="467"/>
      <c r="T14" s="105"/>
    </row>
    <row r="15" spans="2:22" ht="19" x14ac:dyDescent="0.25">
      <c r="B15" s="38" t="s">
        <v>10</v>
      </c>
      <c r="C15" s="39">
        <f t="shared" ref="C15:I15" si="5">C14/C5</f>
        <v>0.12188036460311431</v>
      </c>
      <c r="D15" s="40">
        <f t="shared" si="5"/>
        <v>0.12500000000000003</v>
      </c>
      <c r="E15" s="40">
        <f t="shared" si="5"/>
        <v>0.12000000000000001</v>
      </c>
      <c r="F15" s="40">
        <f t="shared" si="5"/>
        <v>0.11400000000000003</v>
      </c>
      <c r="G15" s="40">
        <f t="shared" si="5"/>
        <v>0.11500000000000003</v>
      </c>
      <c r="H15" s="40">
        <f t="shared" si="5"/>
        <v>0.11600000000000001</v>
      </c>
      <c r="I15" s="40">
        <f t="shared" si="5"/>
        <v>0.11700000000000002</v>
      </c>
      <c r="J15" s="105"/>
      <c r="K15" s="26" t="s">
        <v>84</v>
      </c>
      <c r="L15" s="53">
        <f>L11+L12</f>
        <v>20145.858439690059</v>
      </c>
      <c r="M15" s="105"/>
      <c r="N15" s="26"/>
      <c r="O15" s="53"/>
      <c r="P15" s="105"/>
      <c r="Q15" s="105"/>
      <c r="R15" s="27"/>
      <c r="S15" s="111"/>
      <c r="T15" s="105"/>
    </row>
    <row r="16" spans="2:22" ht="19" x14ac:dyDescent="0.25">
      <c r="B16" s="44"/>
      <c r="C16" s="28"/>
      <c r="D16" s="27"/>
      <c r="E16" s="27"/>
      <c r="F16" s="27"/>
      <c r="G16" s="27"/>
      <c r="H16" s="27"/>
      <c r="I16" s="27"/>
      <c r="J16" s="105"/>
      <c r="K16" s="26"/>
      <c r="L16" s="57"/>
      <c r="M16" s="105"/>
      <c r="N16" s="54"/>
      <c r="O16" s="55"/>
      <c r="P16" s="105"/>
      <c r="Q16" s="105"/>
      <c r="R16" s="27"/>
      <c r="S16" s="111"/>
      <c r="T16" s="105"/>
    </row>
    <row r="17" spans="2:20" ht="19" x14ac:dyDescent="0.25">
      <c r="B17" s="46" t="s">
        <v>11</v>
      </c>
      <c r="C17" s="33">
        <f>Historicals!H18</f>
        <v>42.5</v>
      </c>
      <c r="D17" s="51">
        <f t="shared" ref="D17:I17" si="6">D14*D18</f>
        <v>72.177112500000021</v>
      </c>
      <c r="E17" s="51">
        <f t="shared" si="6"/>
        <v>87.998335560000015</v>
      </c>
      <c r="F17" s="51">
        <f t="shared" si="6"/>
        <v>129.08579370750002</v>
      </c>
      <c r="G17" s="51">
        <f t="shared" si="6"/>
        <v>157.56393152981252</v>
      </c>
      <c r="H17" s="51">
        <f t="shared" si="6"/>
        <v>185.95284162805351</v>
      </c>
      <c r="I17" s="51">
        <f t="shared" si="6"/>
        <v>215.68926587116036</v>
      </c>
      <c r="J17" s="105"/>
      <c r="K17" s="134" t="s">
        <v>89</v>
      </c>
      <c r="L17" s="136"/>
      <c r="M17" s="105"/>
      <c r="N17" s="26"/>
      <c r="O17" s="53">
        <v>81</v>
      </c>
      <c r="P17" s="105"/>
      <c r="Q17" s="105"/>
      <c r="R17" s="26"/>
      <c r="S17" s="112"/>
      <c r="T17" s="105"/>
    </row>
    <row r="18" spans="2:20" ht="19" x14ac:dyDescent="0.25">
      <c r="B18" s="38" t="s">
        <v>13</v>
      </c>
      <c r="C18" s="56">
        <f>C17/C14</f>
        <v>0.13243547276347648</v>
      </c>
      <c r="D18" s="40">
        <v>0.17</v>
      </c>
      <c r="E18" s="40">
        <v>0.17</v>
      </c>
      <c r="F18" s="40">
        <v>0.21</v>
      </c>
      <c r="G18" s="40">
        <v>0.21</v>
      </c>
      <c r="H18" s="40">
        <v>0.21</v>
      </c>
      <c r="I18" s="40">
        <v>0.21</v>
      </c>
      <c r="J18" s="105"/>
      <c r="K18" s="26" t="s">
        <v>84</v>
      </c>
      <c r="L18" s="53">
        <f>L15</f>
        <v>20145.858439690059</v>
      </c>
      <c r="M18" s="105"/>
      <c r="N18" s="26"/>
      <c r="O18" s="53">
        <v>42.5</v>
      </c>
      <c r="P18" s="105"/>
      <c r="Q18" s="105"/>
      <c r="R18" s="26"/>
      <c r="S18" s="111"/>
      <c r="T18" s="105"/>
    </row>
    <row r="19" spans="2:20" ht="19" x14ac:dyDescent="0.25">
      <c r="B19" s="38"/>
      <c r="C19" s="40"/>
      <c r="D19" s="40"/>
      <c r="E19" s="40"/>
      <c r="F19" s="40"/>
      <c r="G19" s="40"/>
      <c r="H19" s="40"/>
      <c r="I19" s="40"/>
      <c r="J19" s="105"/>
      <c r="K19" s="26" t="s">
        <v>90</v>
      </c>
      <c r="L19" s="58">
        <f>-(65+319)</f>
        <v>-384</v>
      </c>
      <c r="M19" s="105"/>
      <c r="N19" s="26"/>
      <c r="O19" s="57"/>
      <c r="P19" s="105"/>
      <c r="Q19" s="105">
        <f>(O17-O18)/O18</f>
        <v>0.90588235294117647</v>
      </c>
      <c r="R19" s="26"/>
      <c r="S19" s="113"/>
      <c r="T19" s="105"/>
    </row>
    <row r="20" spans="2:20" ht="19" x14ac:dyDescent="0.25">
      <c r="B20" s="130" t="s">
        <v>88</v>
      </c>
      <c r="C20" s="133">
        <v>2024</v>
      </c>
      <c r="D20" s="132">
        <v>2025</v>
      </c>
      <c r="E20" s="132">
        <v>2026</v>
      </c>
      <c r="F20" s="132">
        <v>2027</v>
      </c>
      <c r="G20" s="132">
        <v>2028</v>
      </c>
      <c r="H20" s="132">
        <v>2029</v>
      </c>
      <c r="I20" s="132">
        <v>2030</v>
      </c>
      <c r="J20" s="105"/>
      <c r="K20" s="26" t="s">
        <v>91</v>
      </c>
      <c r="L20" s="58">
        <v>0</v>
      </c>
      <c r="M20" s="105"/>
      <c r="N20" s="108"/>
      <c r="O20" s="114"/>
      <c r="P20" s="105"/>
      <c r="Q20" s="105"/>
      <c r="R20" s="105"/>
      <c r="S20" s="105"/>
      <c r="T20" s="105"/>
    </row>
    <row r="21" spans="2:20" ht="19" x14ac:dyDescent="0.25">
      <c r="B21" s="27"/>
      <c r="C21" s="28"/>
      <c r="D21" s="27"/>
      <c r="E21" s="27"/>
      <c r="F21" s="27"/>
      <c r="G21" s="27"/>
      <c r="H21" s="27"/>
      <c r="I21" s="27"/>
      <c r="J21" s="105"/>
      <c r="K21" s="26" t="s">
        <v>92</v>
      </c>
      <c r="L21" s="53">
        <v>1080</v>
      </c>
      <c r="M21" s="105"/>
      <c r="N21" s="26"/>
      <c r="O21" s="53"/>
      <c r="P21" s="105"/>
      <c r="Q21" s="105"/>
      <c r="R21" s="105"/>
      <c r="S21" s="105"/>
      <c r="T21" s="105"/>
    </row>
    <row r="22" spans="2:20" ht="19" x14ac:dyDescent="0.25">
      <c r="B22" s="46" t="s">
        <v>15</v>
      </c>
      <c r="C22" s="33">
        <f t="shared" ref="C22:I22" si="7">C14-C17</f>
        <v>278.411</v>
      </c>
      <c r="D22" s="34">
        <f t="shared" si="7"/>
        <v>352.39413750000006</v>
      </c>
      <c r="E22" s="34">
        <f t="shared" si="7"/>
        <v>429.63893244000008</v>
      </c>
      <c r="F22" s="34">
        <f t="shared" si="7"/>
        <v>485.60846204250015</v>
      </c>
      <c r="G22" s="34">
        <f t="shared" si="7"/>
        <v>592.74050432643764</v>
      </c>
      <c r="H22" s="34">
        <f t="shared" si="7"/>
        <v>699.53688041029648</v>
      </c>
      <c r="I22" s="34">
        <f t="shared" si="7"/>
        <v>811.40247637246034</v>
      </c>
      <c r="J22" s="105"/>
      <c r="K22" s="26" t="s">
        <v>93</v>
      </c>
      <c r="L22" s="53">
        <f>SUM(L18:L21)</f>
        <v>20841.858439690059</v>
      </c>
      <c r="M22" s="105"/>
      <c r="N22" s="26"/>
      <c r="O22" s="58"/>
      <c r="P22" s="105"/>
      <c r="Q22" s="105"/>
      <c r="R22" s="105"/>
      <c r="S22" s="105"/>
      <c r="T22" s="105"/>
    </row>
    <row r="23" spans="2:20" ht="19" x14ac:dyDescent="0.25">
      <c r="B23" s="44"/>
      <c r="C23" s="28"/>
      <c r="D23" s="27"/>
      <c r="E23" s="27"/>
      <c r="F23" s="27"/>
      <c r="G23" s="27"/>
      <c r="H23" s="27"/>
      <c r="I23" s="27"/>
      <c r="J23" s="105"/>
      <c r="K23" s="26" t="s">
        <v>94</v>
      </c>
      <c r="L23" s="96">
        <v>289.3</v>
      </c>
      <c r="M23" s="105"/>
      <c r="N23" s="26"/>
      <c r="O23" s="58"/>
      <c r="P23" s="105"/>
      <c r="Q23" s="105"/>
      <c r="R23" s="105"/>
      <c r="S23" s="105"/>
      <c r="T23" s="105"/>
    </row>
    <row r="24" spans="2:20" ht="20" thickBot="1" x14ac:dyDescent="0.3">
      <c r="B24" s="46" t="s">
        <v>16</v>
      </c>
      <c r="C24" s="33">
        <f t="shared" ref="C24:I24" si="8">C11</f>
        <v>118.8</v>
      </c>
      <c r="D24" s="34">
        <f t="shared" si="8"/>
        <v>152.84565000000001</v>
      </c>
      <c r="E24" s="34">
        <f t="shared" si="8"/>
        <v>219.9958389</v>
      </c>
      <c r="F24" s="34">
        <f t="shared" si="8"/>
        <v>312.73918275</v>
      </c>
      <c r="G24" s="34">
        <f t="shared" si="8"/>
        <v>378.41441112749999</v>
      </c>
      <c r="H24" s="34">
        <f t="shared" si="8"/>
        <v>442.744861019175</v>
      </c>
      <c r="I24" s="34">
        <f t="shared" si="8"/>
        <v>509.15659017205127</v>
      </c>
      <c r="J24" s="105"/>
      <c r="K24" s="134" t="s">
        <v>95</v>
      </c>
      <c r="L24" s="415">
        <f>L22/L23</f>
        <v>72.042372760767563</v>
      </c>
      <c r="M24" s="105"/>
      <c r="N24" s="26"/>
      <c r="O24" s="53"/>
      <c r="P24" s="105"/>
      <c r="Q24" s="105"/>
      <c r="R24" s="105"/>
      <c r="S24" s="105"/>
      <c r="T24" s="105"/>
    </row>
    <row r="25" spans="2:20" ht="20" thickTop="1" x14ac:dyDescent="0.25">
      <c r="B25" s="38" t="s">
        <v>17</v>
      </c>
      <c r="C25" s="39">
        <f>C12</f>
        <v>4.5119635396885682E-2</v>
      </c>
      <c r="D25" s="40">
        <f t="shared" ref="D25:I25" si="9">D24/D5</f>
        <v>4.4999999999999998E-2</v>
      </c>
      <c r="E25" s="40">
        <f t="shared" si="9"/>
        <v>5.0999999999999997E-2</v>
      </c>
      <c r="F25" s="40">
        <f t="shared" si="9"/>
        <v>5.8000000000000003E-2</v>
      </c>
      <c r="G25" s="40">
        <f t="shared" si="9"/>
        <v>5.7999999999999996E-2</v>
      </c>
      <c r="H25" s="40">
        <f t="shared" si="9"/>
        <v>5.8000000000000003E-2</v>
      </c>
      <c r="I25" s="40">
        <f t="shared" si="9"/>
        <v>5.8000000000000003E-2</v>
      </c>
      <c r="J25" s="105"/>
      <c r="K25" s="105"/>
      <c r="L25" s="105"/>
      <c r="M25" s="105"/>
      <c r="N25" s="26"/>
      <c r="O25" s="53"/>
      <c r="P25" s="105"/>
      <c r="Q25" s="105"/>
      <c r="R25" s="105"/>
      <c r="S25" s="105"/>
      <c r="T25" s="105"/>
    </row>
    <row r="26" spans="2:20" ht="20" thickBot="1" x14ac:dyDescent="0.3">
      <c r="B26" s="44"/>
      <c r="C26" s="28"/>
      <c r="D26" s="27"/>
      <c r="E26" s="27"/>
      <c r="F26" s="27"/>
      <c r="G26" s="27"/>
      <c r="H26" s="27"/>
      <c r="I26" s="27"/>
      <c r="J26" s="105"/>
      <c r="K26" s="105"/>
      <c r="L26" s="105"/>
      <c r="M26" s="105"/>
      <c r="N26" s="26"/>
      <c r="O26" s="59"/>
      <c r="P26" s="105"/>
      <c r="Q26" s="105"/>
      <c r="R26" s="105"/>
      <c r="S26" s="105"/>
      <c r="T26" s="105"/>
    </row>
    <row r="27" spans="2:20" ht="20" thickBot="1" x14ac:dyDescent="0.3">
      <c r="B27" s="46" t="s">
        <v>18</v>
      </c>
      <c r="C27" s="60">
        <f>Historicals!H26</f>
        <v>-68.7</v>
      </c>
      <c r="D27" s="61">
        <f t="shared" ref="D27:I27" si="10">D5*D28</f>
        <v>-105.29367000000001</v>
      </c>
      <c r="E27" s="61">
        <f t="shared" si="10"/>
        <v>-146.66389260000003</v>
      </c>
      <c r="F27" s="61">
        <f t="shared" si="10"/>
        <v>-199.50603037499999</v>
      </c>
      <c r="G27" s="61">
        <f t="shared" si="10"/>
        <v>-260.97545595000003</v>
      </c>
      <c r="H27" s="61">
        <f t="shared" si="10"/>
        <v>-305.34128346149998</v>
      </c>
      <c r="I27" s="61">
        <f t="shared" si="10"/>
        <v>-351.14247598072501</v>
      </c>
      <c r="J27" s="105"/>
      <c r="K27" s="468" t="s">
        <v>97</v>
      </c>
      <c r="L27" s="469"/>
      <c r="M27" s="470" t="s">
        <v>110</v>
      </c>
      <c r="N27" s="470"/>
      <c r="O27" s="470"/>
      <c r="P27" s="470"/>
      <c r="Q27" s="471"/>
      <c r="R27" s="351"/>
      <c r="S27" s="105"/>
      <c r="T27" s="105"/>
    </row>
    <row r="28" spans="2:20" ht="19" x14ac:dyDescent="0.25">
      <c r="B28" s="38" t="s">
        <v>19</v>
      </c>
      <c r="C28" s="39">
        <f>C27/C5</f>
        <v>-2.6091910368401066E-2</v>
      </c>
      <c r="D28" s="40">
        <v>-3.1E-2</v>
      </c>
      <c r="E28" s="40">
        <v>-3.4000000000000002E-2</v>
      </c>
      <c r="F28" s="40">
        <v>-3.6999999999999998E-2</v>
      </c>
      <c r="G28" s="40">
        <v>-0.04</v>
      </c>
      <c r="H28" s="40">
        <v>-0.04</v>
      </c>
      <c r="I28" s="40">
        <v>-0.04</v>
      </c>
      <c r="J28" s="105"/>
      <c r="K28" s="115"/>
      <c r="L28" s="116">
        <f>L24</f>
        <v>72.042372760767563</v>
      </c>
      <c r="M28" s="73">
        <f>N28-1</f>
        <v>15.55</v>
      </c>
      <c r="N28" s="73">
        <f>O28-1</f>
        <v>16.55</v>
      </c>
      <c r="O28" s="73">
        <v>17.55</v>
      </c>
      <c r="P28" s="73">
        <f>O28+1</f>
        <v>18.55</v>
      </c>
      <c r="Q28" s="117">
        <f>P28+1</f>
        <v>19.55</v>
      </c>
      <c r="R28" s="105"/>
      <c r="S28" s="105"/>
      <c r="T28" s="105"/>
    </row>
    <row r="29" spans="2:20" ht="19" x14ac:dyDescent="0.25">
      <c r="B29" s="44"/>
      <c r="C29" s="28"/>
      <c r="D29" s="27"/>
      <c r="E29" s="27"/>
      <c r="F29" s="27"/>
      <c r="G29" s="27"/>
      <c r="H29" s="27"/>
      <c r="I29" s="27"/>
      <c r="J29" s="105"/>
      <c r="K29" s="463" t="s">
        <v>72</v>
      </c>
      <c r="L29" s="118">
        <v>9.8000000000000004E-2</v>
      </c>
      <c r="M29" s="119">
        <f t="dataTable" ref="M29:Q33" dt2D="1" dtr="1" r1="L6" r2="C39" ca="1"/>
        <v>76.070046704894779</v>
      </c>
      <c r="N29" s="120">
        <v>79.898336453394009</v>
      </c>
      <c r="O29" s="120">
        <v>83.726626201893225</v>
      </c>
      <c r="P29" s="120">
        <v>87.554915950392456</v>
      </c>
      <c r="Q29" s="121">
        <v>91.383205698891686</v>
      </c>
      <c r="R29" s="105"/>
      <c r="S29" s="105"/>
      <c r="T29" s="105"/>
    </row>
    <row r="30" spans="2:20" ht="19" x14ac:dyDescent="0.25">
      <c r="B30" s="46" t="s">
        <v>96</v>
      </c>
      <c r="C30" s="60">
        <f>Historicals!H29</f>
        <v>161.1</v>
      </c>
      <c r="D30" s="61">
        <f>D31*D5</f>
        <v>135.86280000000002</v>
      </c>
      <c r="E30" s="61">
        <f t="shared" ref="E30:I30" si="11">E31*E5</f>
        <v>150.97753650000001</v>
      </c>
      <c r="F30" s="61">
        <f t="shared" si="11"/>
        <v>188.72192062500002</v>
      </c>
      <c r="G30" s="61">
        <f t="shared" si="11"/>
        <v>195.73159196249998</v>
      </c>
      <c r="H30" s="61">
        <f t="shared" si="11"/>
        <v>229.00596259612499</v>
      </c>
      <c r="I30" s="61">
        <f t="shared" si="11"/>
        <v>219.46404748795314</v>
      </c>
      <c r="J30" s="105"/>
      <c r="K30" s="463"/>
      <c r="L30" s="118">
        <v>0.10299999999999999</v>
      </c>
      <c r="M30" s="122">
        <v>74.977063868276645</v>
      </c>
      <c r="N30" s="123">
        <v>78.744958048283962</v>
      </c>
      <c r="O30" s="123">
        <v>82.51285222829128</v>
      </c>
      <c r="P30" s="123">
        <v>86.280746408298612</v>
      </c>
      <c r="Q30" s="124">
        <v>90.048640588305929</v>
      </c>
      <c r="R30" s="105"/>
      <c r="S30" s="105"/>
      <c r="T30" s="105"/>
    </row>
    <row r="31" spans="2:20" ht="19" x14ac:dyDescent="0.25">
      <c r="B31" s="38" t="s">
        <v>22</v>
      </c>
      <c r="C31" s="39">
        <f>C30/C5</f>
        <v>6.1184960121534369E-2</v>
      </c>
      <c r="D31" s="40">
        <v>0.04</v>
      </c>
      <c r="E31" s="40">
        <v>3.5000000000000003E-2</v>
      </c>
      <c r="F31" s="40">
        <v>3.5000000000000003E-2</v>
      </c>
      <c r="G31" s="40">
        <v>0.03</v>
      </c>
      <c r="H31" s="40">
        <v>0.03</v>
      </c>
      <c r="I31" s="40">
        <v>2.5000000000000001E-2</v>
      </c>
      <c r="J31" s="105"/>
      <c r="K31" s="463"/>
      <c r="L31" s="118">
        <v>0.108</v>
      </c>
      <c r="M31" s="122">
        <v>73.905601652236228</v>
      </c>
      <c r="N31" s="123">
        <v>77.614319800317489</v>
      </c>
      <c r="O31" s="125">
        <v>81.323037948398763</v>
      </c>
      <c r="P31" s="123">
        <v>85.031756096480009</v>
      </c>
      <c r="Q31" s="124">
        <v>88.740474244561298</v>
      </c>
      <c r="R31" s="105"/>
      <c r="S31" s="105"/>
      <c r="T31" s="105"/>
    </row>
    <row r="32" spans="2:20" ht="19" x14ac:dyDescent="0.25">
      <c r="B32" s="44"/>
      <c r="C32" s="28"/>
      <c r="D32" s="27"/>
      <c r="E32" s="27"/>
      <c r="F32" s="27"/>
      <c r="G32" s="27"/>
      <c r="H32" s="27"/>
      <c r="I32" s="27"/>
      <c r="J32" s="105"/>
      <c r="K32" s="463"/>
      <c r="L32" s="118">
        <v>0.113</v>
      </c>
      <c r="M32" s="122">
        <v>72.855138683351569</v>
      </c>
      <c r="N32" s="123">
        <v>76.505870372849074</v>
      </c>
      <c r="O32" s="123">
        <v>80.156602062346579</v>
      </c>
      <c r="P32" s="123">
        <v>83.807333751844098</v>
      </c>
      <c r="Q32" s="124">
        <v>87.458065441341617</v>
      </c>
      <c r="R32" s="105"/>
      <c r="S32" s="105"/>
      <c r="T32" s="105"/>
    </row>
    <row r="33" spans="2:20" ht="20" thickBot="1" x14ac:dyDescent="0.3">
      <c r="B33" s="46" t="s">
        <v>99</v>
      </c>
      <c r="C33" s="63">
        <f t="shared" ref="C33:I33" si="12">C22+C24+C27+C30</f>
        <v>489.61099999999999</v>
      </c>
      <c r="D33" s="64">
        <f t="shared" si="12"/>
        <v>535.80891750000001</v>
      </c>
      <c r="E33" s="64">
        <f t="shared" si="12"/>
        <v>653.94841524000003</v>
      </c>
      <c r="F33" s="64">
        <f t="shared" si="12"/>
        <v>787.56353504250023</v>
      </c>
      <c r="G33" s="64">
        <f t="shared" si="12"/>
        <v>905.91105146643758</v>
      </c>
      <c r="H33" s="64">
        <f t="shared" si="12"/>
        <v>1065.9464205640963</v>
      </c>
      <c r="I33" s="64">
        <f t="shared" si="12"/>
        <v>1188.8806380517397</v>
      </c>
      <c r="J33" s="105"/>
      <c r="K33" s="464"/>
      <c r="L33" s="126">
        <v>0.11799999999999999</v>
      </c>
      <c r="M33" s="127">
        <v>71.825168523795028</v>
      </c>
      <c r="N33" s="128">
        <v>75.419074230982062</v>
      </c>
      <c r="O33" s="128">
        <v>79.012979938169082</v>
      </c>
      <c r="P33" s="128">
        <v>82.606885645356101</v>
      </c>
      <c r="Q33" s="129">
        <v>86.200791352543135</v>
      </c>
      <c r="R33" s="105"/>
      <c r="S33" s="105"/>
      <c r="T33" s="105"/>
    </row>
    <row r="34" spans="2:20" ht="19" x14ac:dyDescent="0.25">
      <c r="B34" s="27"/>
      <c r="C34" s="27"/>
      <c r="D34" s="27"/>
      <c r="E34" s="27"/>
      <c r="F34" s="27"/>
      <c r="G34" s="27"/>
      <c r="H34" s="27"/>
      <c r="I34" s="27"/>
      <c r="J34" s="105"/>
      <c r="K34" s="108"/>
      <c r="L34" s="109"/>
      <c r="M34" s="105"/>
      <c r="N34" s="105"/>
      <c r="O34" s="105"/>
      <c r="P34" s="105"/>
      <c r="Q34" s="105"/>
      <c r="R34" s="105"/>
      <c r="S34" s="105"/>
      <c r="T34" s="105"/>
    </row>
    <row r="35" spans="2:20" ht="19" x14ac:dyDescent="0.25">
      <c r="B35" s="130" t="s">
        <v>100</v>
      </c>
      <c r="C35" s="133">
        <v>2024</v>
      </c>
      <c r="D35" s="132">
        <v>2025</v>
      </c>
      <c r="E35" s="132">
        <v>2026</v>
      </c>
      <c r="F35" s="132">
        <v>2027</v>
      </c>
      <c r="G35" s="132">
        <v>2028</v>
      </c>
      <c r="H35" s="132">
        <v>2029</v>
      </c>
      <c r="I35" s="132">
        <v>2030</v>
      </c>
      <c r="J35" s="105"/>
      <c r="K35" s="26"/>
      <c r="L35" s="107"/>
      <c r="M35" s="105"/>
      <c r="N35" s="105"/>
      <c r="O35" s="105"/>
      <c r="P35" s="105"/>
      <c r="Q35" s="105"/>
      <c r="R35" s="105"/>
      <c r="S35" s="105"/>
      <c r="T35" s="105"/>
    </row>
    <row r="36" spans="2:20" ht="19" x14ac:dyDescent="0.25">
      <c r="B36" s="27"/>
      <c r="C36" s="28"/>
      <c r="D36" s="27"/>
      <c r="E36" s="27"/>
      <c r="F36" s="27"/>
      <c r="G36" s="27"/>
      <c r="H36" s="27"/>
      <c r="I36" s="27"/>
      <c r="J36" s="105"/>
      <c r="K36" s="384"/>
      <c r="L36" s="53"/>
      <c r="M36" s="105"/>
      <c r="N36" s="105"/>
      <c r="O36" s="105"/>
      <c r="P36" s="105"/>
      <c r="Q36" s="105"/>
      <c r="R36" s="105"/>
      <c r="S36" s="105"/>
      <c r="T36" s="105"/>
    </row>
    <row r="37" spans="2:20" ht="19" x14ac:dyDescent="0.25">
      <c r="B37" s="32" t="s">
        <v>101</v>
      </c>
      <c r="C37" s="65">
        <v>0.5</v>
      </c>
      <c r="D37" s="66">
        <v>1</v>
      </c>
      <c r="E37" s="66">
        <v>1.5</v>
      </c>
      <c r="F37" s="66">
        <v>2</v>
      </c>
      <c r="G37" s="66">
        <v>2.5</v>
      </c>
      <c r="H37" s="66">
        <v>3</v>
      </c>
      <c r="I37" s="66">
        <v>3.5</v>
      </c>
      <c r="J37" s="105"/>
      <c r="K37" s="385"/>
      <c r="L37" s="55"/>
      <c r="M37" s="105"/>
      <c r="N37" s="105"/>
      <c r="O37" s="105"/>
      <c r="P37" s="105"/>
      <c r="Q37" s="105"/>
      <c r="R37" s="105"/>
      <c r="S37" s="105"/>
      <c r="T37" s="105"/>
    </row>
    <row r="38" spans="2:20" ht="19" x14ac:dyDescent="0.25">
      <c r="B38" s="27"/>
      <c r="C38" s="28"/>
      <c r="D38" s="27"/>
      <c r="E38" s="27"/>
      <c r="F38" s="27"/>
      <c r="G38" s="27"/>
      <c r="H38" s="27"/>
      <c r="I38" s="27"/>
      <c r="J38" s="105"/>
      <c r="K38" s="384"/>
      <c r="L38" s="53"/>
      <c r="M38" s="105"/>
      <c r="N38" s="105"/>
      <c r="O38" s="105"/>
      <c r="P38" s="105"/>
      <c r="Q38" s="105"/>
      <c r="R38" s="105"/>
      <c r="S38" s="105"/>
      <c r="T38" s="105"/>
    </row>
    <row r="39" spans="2:20" ht="19" x14ac:dyDescent="0.25">
      <c r="B39" s="32" t="s">
        <v>72</v>
      </c>
      <c r="C39" s="67">
        <v>0.108</v>
      </c>
      <c r="D39" s="68">
        <f t="shared" ref="D39:I39" si="13">C39</f>
        <v>0.108</v>
      </c>
      <c r="E39" s="68">
        <f t="shared" si="13"/>
        <v>0.108</v>
      </c>
      <c r="F39" s="68">
        <f t="shared" si="13"/>
        <v>0.108</v>
      </c>
      <c r="G39" s="68">
        <f t="shared" si="13"/>
        <v>0.108</v>
      </c>
      <c r="H39" s="68">
        <f t="shared" si="13"/>
        <v>0.108</v>
      </c>
      <c r="I39" s="68">
        <f t="shared" si="13"/>
        <v>0.108</v>
      </c>
      <c r="J39" s="105"/>
      <c r="K39" s="384"/>
      <c r="L39" s="53"/>
      <c r="M39" s="105"/>
      <c r="N39" s="105"/>
      <c r="O39" s="105"/>
      <c r="P39" s="105"/>
      <c r="Q39" s="105"/>
      <c r="R39" s="105"/>
      <c r="S39" s="105"/>
      <c r="T39" s="105"/>
    </row>
    <row r="40" spans="2:20" ht="19" x14ac:dyDescent="0.25">
      <c r="B40" s="27"/>
      <c r="C40" s="28"/>
      <c r="D40" s="27"/>
      <c r="E40" s="27"/>
      <c r="F40" s="27"/>
      <c r="G40" s="27"/>
      <c r="H40" s="27"/>
      <c r="I40" s="27"/>
      <c r="J40" s="105"/>
      <c r="K40" s="26"/>
      <c r="L40" s="57"/>
      <c r="M40" s="105"/>
      <c r="N40" s="105"/>
      <c r="O40" s="105"/>
      <c r="P40" s="105"/>
      <c r="Q40" s="105"/>
      <c r="R40" s="105"/>
      <c r="S40" s="105"/>
      <c r="T40" s="105"/>
    </row>
    <row r="41" spans="2:20" ht="19" x14ac:dyDescent="0.25">
      <c r="B41" s="32" t="s">
        <v>102</v>
      </c>
      <c r="C41" s="69">
        <f>(1/((1+$J$38)^C37))</f>
        <v>1</v>
      </c>
      <c r="D41" s="70">
        <f t="shared" ref="D41:I41" si="14">(1/((1+$C$39)^D37))</f>
        <v>0.90252707581227432</v>
      </c>
      <c r="E41" s="70">
        <f t="shared" si="14"/>
        <v>0.8574135833218709</v>
      </c>
      <c r="F41" s="70">
        <f t="shared" si="14"/>
        <v>0.81455512257425466</v>
      </c>
      <c r="G41" s="70">
        <f t="shared" si="14"/>
        <v>0.77383897411721181</v>
      </c>
      <c r="H41" s="70">
        <f t="shared" si="14"/>
        <v>0.7351580528648507</v>
      </c>
      <c r="I41" s="70">
        <f t="shared" si="14"/>
        <v>0.69841062645957752</v>
      </c>
      <c r="J41" s="105"/>
      <c r="K41" s="108"/>
      <c r="L41" s="114"/>
      <c r="M41" s="105"/>
      <c r="N41" s="105"/>
      <c r="O41" s="105"/>
      <c r="P41" s="105"/>
      <c r="Q41" s="105"/>
      <c r="R41" s="105"/>
      <c r="S41" s="105"/>
      <c r="T41" s="105"/>
    </row>
    <row r="42" spans="2:20" ht="19" x14ac:dyDescent="0.25">
      <c r="B42" s="27"/>
      <c r="C42" s="28"/>
      <c r="D42" s="27"/>
      <c r="E42" s="27"/>
      <c r="F42" s="27"/>
      <c r="G42" s="27"/>
      <c r="H42" s="27"/>
      <c r="I42" s="27"/>
      <c r="J42" s="105"/>
      <c r="K42" s="384"/>
      <c r="L42" s="53"/>
      <c r="M42" s="105"/>
      <c r="N42" s="105"/>
      <c r="O42" s="105"/>
      <c r="P42" s="105"/>
      <c r="Q42" s="105"/>
      <c r="R42" s="105"/>
      <c r="S42" s="105"/>
      <c r="T42" s="105"/>
    </row>
    <row r="43" spans="2:20" ht="19" x14ac:dyDescent="0.25">
      <c r="B43" s="32" t="s">
        <v>103</v>
      </c>
      <c r="C43" s="71">
        <f t="shared" ref="C43:I43" si="15">C33*C41</f>
        <v>489.61099999999999</v>
      </c>
      <c r="D43" s="72">
        <f t="shared" si="15"/>
        <v>483.58205550541516</v>
      </c>
      <c r="E43" s="72">
        <f t="shared" si="15"/>
        <v>560.70425401858722</v>
      </c>
      <c r="F43" s="72">
        <f t="shared" si="15"/>
        <v>641.51391182155703</v>
      </c>
      <c r="G43" s="72">
        <f t="shared" si="15"/>
        <v>701.02927870823271</v>
      </c>
      <c r="H43" s="72">
        <f t="shared" si="15"/>
        <v>783.63909500015836</v>
      </c>
      <c r="I43" s="72">
        <f t="shared" si="15"/>
        <v>830.32687120737774</v>
      </c>
      <c r="J43" s="105"/>
      <c r="K43" s="384"/>
      <c r="L43" s="58"/>
      <c r="M43" s="105"/>
      <c r="N43" s="105"/>
      <c r="O43" s="105"/>
      <c r="P43" s="105"/>
      <c r="Q43" s="105"/>
      <c r="R43" s="105"/>
      <c r="S43" s="105"/>
      <c r="T43" s="105"/>
    </row>
  </sheetData>
  <mergeCells count="6">
    <mergeCell ref="K29:K33"/>
    <mergeCell ref="K3:L3"/>
    <mergeCell ref="N3:O3"/>
    <mergeCell ref="R14:S14"/>
    <mergeCell ref="K27:L27"/>
    <mergeCell ref="M27:Q27"/>
  </mergeCells>
  <conditionalFormatting sqref="M29:Q3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98B3-F38B-439A-9776-6CDEBA0E3D0C}">
  <sheetPr>
    <tabColor rgb="FF002060"/>
  </sheetPr>
  <dimension ref="B1:V44"/>
  <sheetViews>
    <sheetView topLeftCell="E1" zoomScaleNormal="100" workbookViewId="0">
      <selection activeCell="L11" sqref="L11"/>
    </sheetView>
  </sheetViews>
  <sheetFormatPr baseColWidth="10" defaultColWidth="9.1640625" defaultRowHeight="15" x14ac:dyDescent="0.2"/>
  <cols>
    <col min="1" max="1" width="9.1640625" style="25"/>
    <col min="2" max="2" width="48.33203125" style="25" customWidth="1"/>
    <col min="3" max="10" width="16.6640625" style="25" customWidth="1"/>
    <col min="11" max="11" width="34" style="25" customWidth="1"/>
    <col min="12" max="17" width="16.6640625" style="25" customWidth="1"/>
    <col min="18" max="18" width="44" style="25" customWidth="1"/>
    <col min="19" max="19" width="14.6640625" style="25" customWidth="1"/>
    <col min="20" max="22" width="16.6640625" style="25" customWidth="1"/>
    <col min="23" max="16384" width="9.1640625" style="25"/>
  </cols>
  <sheetData>
    <row r="1" spans="2:22" ht="45" x14ac:dyDescent="0.45">
      <c r="B1" s="472" t="s">
        <v>67</v>
      </c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</row>
    <row r="3" spans="2:22" ht="18" x14ac:dyDescent="0.2">
      <c r="B3" s="97" t="s">
        <v>68</v>
      </c>
      <c r="C3" s="98">
        <v>2024</v>
      </c>
      <c r="D3" s="99">
        <v>2025</v>
      </c>
      <c r="E3" s="99">
        <v>2026</v>
      </c>
      <c r="F3" s="99">
        <v>2027</v>
      </c>
      <c r="G3" s="99">
        <v>2028</v>
      </c>
      <c r="H3" s="99">
        <v>2029</v>
      </c>
      <c r="I3" s="99">
        <v>2030</v>
      </c>
      <c r="J3" s="26"/>
      <c r="K3" s="465" t="s">
        <v>69</v>
      </c>
      <c r="L3" s="465"/>
      <c r="M3" s="26"/>
      <c r="P3" s="26"/>
      <c r="Q3" s="26"/>
      <c r="R3" s="137" t="s">
        <v>70</v>
      </c>
      <c r="S3" s="104"/>
    </row>
    <row r="4" spans="2:22" ht="18" x14ac:dyDescent="0.2">
      <c r="B4" s="27"/>
      <c r="C4" s="28" t="s">
        <v>71</v>
      </c>
      <c r="D4" s="27"/>
      <c r="E4" s="27"/>
      <c r="F4" s="27"/>
      <c r="G4" s="27"/>
      <c r="H4" s="27"/>
      <c r="I4" s="27"/>
      <c r="J4" s="26"/>
      <c r="K4" s="26" t="s">
        <v>72</v>
      </c>
      <c r="L4" s="75">
        <f>C39</f>
        <v>0.108</v>
      </c>
      <c r="M4" s="26"/>
      <c r="P4" s="26"/>
      <c r="Q4" s="26"/>
      <c r="R4" s="30" t="s">
        <v>73</v>
      </c>
      <c r="S4" s="31">
        <v>2.47E-2</v>
      </c>
    </row>
    <row r="5" spans="2:22" ht="18" x14ac:dyDescent="0.2">
      <c r="B5" s="32" t="s">
        <v>1</v>
      </c>
      <c r="C5" s="33">
        <f>Historicals!H6</f>
        <v>2633</v>
      </c>
      <c r="D5" s="34">
        <f>C5*(1+D6)</f>
        <v>3370.2400000000002</v>
      </c>
      <c r="E5" s="34">
        <f t="shared" ref="E5:I5" si="0">D5*(1+E6)</f>
        <v>4212.8</v>
      </c>
      <c r="F5" s="34">
        <f t="shared" si="0"/>
        <v>5181.7440000000006</v>
      </c>
      <c r="G5" s="34">
        <f t="shared" si="0"/>
        <v>6269.9102400000002</v>
      </c>
      <c r="H5" s="34">
        <f t="shared" si="0"/>
        <v>7461.1931856000001</v>
      </c>
      <c r="I5" s="34">
        <f t="shared" si="0"/>
        <v>8505.7602315840013</v>
      </c>
      <c r="J5" s="26"/>
      <c r="K5" s="26" t="s">
        <v>74</v>
      </c>
      <c r="L5" s="35">
        <f>I33</f>
        <v>1143.8546359434165</v>
      </c>
      <c r="M5" s="26"/>
      <c r="P5" s="26"/>
      <c r="Q5" s="26"/>
      <c r="R5" s="36" t="s">
        <v>75</v>
      </c>
      <c r="S5" s="37">
        <v>2.3300000000000001E-2</v>
      </c>
    </row>
    <row r="6" spans="2:22" ht="18" x14ac:dyDescent="0.2">
      <c r="B6" s="38" t="s">
        <v>3</v>
      </c>
      <c r="C6" s="39">
        <f>Historicals!H7</f>
        <v>0.31946880481082429</v>
      </c>
      <c r="D6" s="40">
        <v>0.28000000000000003</v>
      </c>
      <c r="E6" s="40">
        <f>D6-3%</f>
        <v>0.25</v>
      </c>
      <c r="F6" s="40">
        <f>E6-2%</f>
        <v>0.23</v>
      </c>
      <c r="G6" s="40">
        <f t="shared" ref="G6:H6" si="1">F6-2%</f>
        <v>0.21000000000000002</v>
      </c>
      <c r="H6" s="40">
        <f t="shared" si="1"/>
        <v>0.19000000000000003</v>
      </c>
      <c r="I6" s="40">
        <f>H6-5%</f>
        <v>0.14000000000000001</v>
      </c>
      <c r="J6" s="26"/>
      <c r="K6" s="26"/>
      <c r="L6" s="41"/>
      <c r="M6" s="26"/>
      <c r="P6" s="26"/>
      <c r="Q6" s="26"/>
      <c r="R6" s="42" t="s">
        <v>76</v>
      </c>
      <c r="S6" s="43">
        <v>1.42</v>
      </c>
    </row>
    <row r="7" spans="2:22" ht="18" x14ac:dyDescent="0.2">
      <c r="B7" s="44"/>
      <c r="C7" s="28"/>
      <c r="D7" s="27"/>
      <c r="E7" s="27"/>
      <c r="F7" s="27"/>
      <c r="G7" s="27"/>
      <c r="H7" s="27"/>
      <c r="I7" s="27"/>
      <c r="J7" s="26"/>
      <c r="K7" s="26" t="s">
        <v>77</v>
      </c>
      <c r="L7" s="45">
        <v>0.09</v>
      </c>
      <c r="M7" s="26"/>
      <c r="P7" s="26"/>
      <c r="Q7" s="26"/>
      <c r="R7" s="42" t="s">
        <v>78</v>
      </c>
      <c r="S7" s="37">
        <f>S4+S5</f>
        <v>4.8000000000000001E-2</v>
      </c>
    </row>
    <row r="8" spans="2:22" ht="18" x14ac:dyDescent="0.2">
      <c r="B8" s="46" t="s">
        <v>4</v>
      </c>
      <c r="C8" s="33">
        <f>Historicals!H9</f>
        <v>439.7</v>
      </c>
      <c r="D8" s="34">
        <f t="shared" ref="D8:I8" si="2">D9*D5</f>
        <v>572.94080000000008</v>
      </c>
      <c r="E8" s="34">
        <f>E9*E5</f>
        <v>716.17600000000004</v>
      </c>
      <c r="F8" s="34">
        <f t="shared" si="2"/>
        <v>880.89648000000011</v>
      </c>
      <c r="G8" s="34">
        <f t="shared" si="2"/>
        <v>1065.8847408000001</v>
      </c>
      <c r="H8" s="34">
        <f t="shared" si="2"/>
        <v>1268.4028415520002</v>
      </c>
      <c r="I8" s="34">
        <f t="shared" si="2"/>
        <v>1445.9792393692803</v>
      </c>
      <c r="J8" s="26"/>
      <c r="K8" s="26" t="s">
        <v>79</v>
      </c>
      <c r="L8" s="47">
        <v>8</v>
      </c>
      <c r="M8" s="351"/>
      <c r="P8" s="26"/>
      <c r="Q8" s="26"/>
      <c r="R8" s="48" t="s">
        <v>80</v>
      </c>
      <c r="S8" s="49">
        <f>S7*S6</f>
        <v>6.8159999999999998E-2</v>
      </c>
    </row>
    <row r="9" spans="2:22" ht="18" x14ac:dyDescent="0.2">
      <c r="B9" s="38" t="s">
        <v>6</v>
      </c>
      <c r="C9" s="39">
        <f>C8/C5</f>
        <v>0.16699582225598175</v>
      </c>
      <c r="D9" s="40">
        <v>0.17</v>
      </c>
      <c r="E9" s="40">
        <v>0.17</v>
      </c>
      <c r="F9" s="40">
        <v>0.17</v>
      </c>
      <c r="G9" s="40">
        <v>0.17</v>
      </c>
      <c r="H9" s="40">
        <v>0.17</v>
      </c>
      <c r="I9" s="40">
        <v>0.17</v>
      </c>
      <c r="J9" s="26"/>
      <c r="K9" s="26" t="s">
        <v>81</v>
      </c>
      <c r="L9" s="74">
        <f>S8</f>
        <v>6.8159999999999998E-2</v>
      </c>
      <c r="M9" s="26"/>
      <c r="N9" s="26"/>
      <c r="O9" s="26"/>
      <c r="P9" s="26"/>
      <c r="Q9" s="26"/>
      <c r="R9" s="26"/>
    </row>
    <row r="10" spans="2:22" ht="18" x14ac:dyDescent="0.2">
      <c r="B10" s="44"/>
      <c r="C10" s="28"/>
      <c r="D10" s="27"/>
      <c r="E10" s="27"/>
      <c r="F10" s="27"/>
      <c r="G10" s="27"/>
      <c r="H10" s="27"/>
      <c r="I10" s="27"/>
      <c r="J10" s="26"/>
      <c r="K10" s="26" t="s">
        <v>82</v>
      </c>
      <c r="L10" s="35">
        <f>(((L5*(1+L9))+(L5*(L8/2)*(L7-L9)))/(F39-L9))</f>
        <v>33176.378236077726</v>
      </c>
      <c r="M10" s="26"/>
      <c r="N10" s="26"/>
      <c r="O10" s="26"/>
      <c r="P10" s="26"/>
      <c r="Q10" s="26"/>
      <c r="R10" s="26"/>
    </row>
    <row r="11" spans="2:22" ht="18" x14ac:dyDescent="0.2">
      <c r="B11" s="46" t="s">
        <v>7</v>
      </c>
      <c r="C11" s="33">
        <f>Historicals!H12</f>
        <v>118.8</v>
      </c>
      <c r="D11" s="34">
        <f>D12*D5</f>
        <v>151.66079999999999</v>
      </c>
      <c r="E11" s="34">
        <f t="shared" ref="E11:I11" si="3">E12*E5</f>
        <v>214.8528</v>
      </c>
      <c r="F11" s="34">
        <f t="shared" si="3"/>
        <v>300.54115200000007</v>
      </c>
      <c r="G11" s="34">
        <f t="shared" si="3"/>
        <v>363.65479392000003</v>
      </c>
      <c r="H11" s="34">
        <f t="shared" si="3"/>
        <v>432.74920476480003</v>
      </c>
      <c r="I11" s="34">
        <f t="shared" si="3"/>
        <v>493.33409343187208</v>
      </c>
      <c r="J11" s="26"/>
      <c r="K11" s="26" t="s">
        <v>83</v>
      </c>
      <c r="L11" s="50">
        <f>1/((1+I39)^(I3-D3))</f>
        <v>0.59882675786277884</v>
      </c>
      <c r="M11" s="26"/>
      <c r="N11" s="26"/>
      <c r="O11" s="26"/>
      <c r="P11" s="26"/>
      <c r="Q11" s="26"/>
      <c r="R11" s="26"/>
    </row>
    <row r="12" spans="2:22" ht="18" x14ac:dyDescent="0.2">
      <c r="B12" s="38" t="s">
        <v>17</v>
      </c>
      <c r="C12" s="39">
        <f>C11/C5</f>
        <v>4.5119635396885682E-2</v>
      </c>
      <c r="D12" s="40">
        <v>4.4999999999999998E-2</v>
      </c>
      <c r="E12" s="40">
        <v>5.0999999999999997E-2</v>
      </c>
      <c r="F12" s="40">
        <v>5.8000000000000003E-2</v>
      </c>
      <c r="G12" s="40">
        <v>5.8000000000000003E-2</v>
      </c>
      <c r="H12" s="40">
        <v>5.8000000000000003E-2</v>
      </c>
      <c r="I12" s="40">
        <v>5.8000000000000003E-2</v>
      </c>
      <c r="J12" s="26"/>
      <c r="K12" s="26"/>
      <c r="L12" s="26"/>
      <c r="M12" s="26"/>
      <c r="N12" s="26"/>
      <c r="O12" s="26"/>
      <c r="P12" s="26"/>
      <c r="Q12" s="26"/>
      <c r="R12" s="26"/>
    </row>
    <row r="13" spans="2:22" ht="18" x14ac:dyDescent="0.2">
      <c r="B13" s="44"/>
      <c r="C13" s="28"/>
      <c r="D13" s="27"/>
      <c r="E13" s="27"/>
      <c r="F13" s="27"/>
      <c r="G13" s="27"/>
      <c r="H13" s="27"/>
      <c r="I13" s="27"/>
      <c r="J13" s="26"/>
      <c r="K13" s="134" t="s">
        <v>84</v>
      </c>
      <c r="L13" s="135"/>
      <c r="M13" s="26"/>
      <c r="N13" s="26"/>
      <c r="O13" s="26"/>
      <c r="P13" s="26"/>
      <c r="Q13" s="26"/>
      <c r="R13" s="26"/>
    </row>
    <row r="14" spans="2:22" ht="18" x14ac:dyDescent="0.2">
      <c r="B14" s="46" t="s">
        <v>9</v>
      </c>
      <c r="C14" s="33">
        <f>C8-C11</f>
        <v>320.89999999999998</v>
      </c>
      <c r="D14" s="51">
        <f t="shared" ref="D14:I14" si="4">D8-D11</f>
        <v>421.28000000000009</v>
      </c>
      <c r="E14" s="51">
        <f t="shared" si="4"/>
        <v>501.32320000000004</v>
      </c>
      <c r="F14" s="51">
        <f t="shared" si="4"/>
        <v>580.3553280000001</v>
      </c>
      <c r="G14" s="51">
        <f t="shared" si="4"/>
        <v>702.22994688000017</v>
      </c>
      <c r="H14" s="51">
        <f t="shared" si="4"/>
        <v>835.65363678720018</v>
      </c>
      <c r="I14" s="51">
        <f t="shared" si="4"/>
        <v>952.64514593740819</v>
      </c>
      <c r="J14" s="26"/>
      <c r="K14" s="26" t="s">
        <v>85</v>
      </c>
      <c r="L14" s="52">
        <f>SUM(G43:J43)</f>
        <v>1917.4920543876701</v>
      </c>
      <c r="M14" s="26"/>
      <c r="N14" s="26"/>
      <c r="O14" s="26"/>
      <c r="P14" s="26"/>
      <c r="Q14" s="26"/>
      <c r="R14" s="26"/>
    </row>
    <row r="15" spans="2:22" ht="18" x14ac:dyDescent="0.2">
      <c r="B15" s="38" t="s">
        <v>10</v>
      </c>
      <c r="C15" s="39">
        <f>C14/C5</f>
        <v>0.12187618685909608</v>
      </c>
      <c r="D15" s="40">
        <f>D14/D5</f>
        <v>0.12500000000000003</v>
      </c>
      <c r="E15" s="40">
        <f t="shared" ref="E15:I15" si="5">E14/E5</f>
        <v>0.11900000000000001</v>
      </c>
      <c r="F15" s="40">
        <f t="shared" si="5"/>
        <v>0.112</v>
      </c>
      <c r="G15" s="40">
        <f t="shared" si="5"/>
        <v>0.11200000000000003</v>
      </c>
      <c r="H15" s="40">
        <f t="shared" si="5"/>
        <v>0.11200000000000003</v>
      </c>
      <c r="I15" s="40">
        <f t="shared" si="5"/>
        <v>0.112</v>
      </c>
      <c r="J15" s="26"/>
      <c r="K15" s="26" t="s">
        <v>86</v>
      </c>
      <c r="L15" s="53">
        <f>L10*L11</f>
        <v>19866.903016739681</v>
      </c>
      <c r="M15" s="26"/>
      <c r="N15" s="26"/>
      <c r="O15" s="26"/>
      <c r="P15" s="26"/>
      <c r="Q15" s="26"/>
      <c r="R15" s="26"/>
    </row>
    <row r="16" spans="2:22" ht="18" x14ac:dyDescent="0.2">
      <c r="B16" s="44"/>
      <c r="C16" s="28"/>
      <c r="D16" s="27"/>
      <c r="E16" s="27"/>
      <c r="F16" s="27"/>
      <c r="G16" s="27"/>
      <c r="H16" s="27"/>
      <c r="I16" s="27"/>
      <c r="J16" s="26"/>
      <c r="K16" s="54" t="s">
        <v>87</v>
      </c>
      <c r="L16" s="55">
        <f>L15/L18</f>
        <v>0.91197864121877414</v>
      </c>
      <c r="M16" s="351"/>
      <c r="N16" s="26"/>
      <c r="O16" s="26"/>
      <c r="P16" s="26"/>
      <c r="Q16" s="26"/>
      <c r="R16" s="26"/>
    </row>
    <row r="17" spans="2:18" ht="18" x14ac:dyDescent="0.2">
      <c r="B17" s="46" t="s">
        <v>11</v>
      </c>
      <c r="C17" s="33">
        <f>Historicals!H18</f>
        <v>42.5</v>
      </c>
      <c r="D17" s="51">
        <f t="shared" ref="D17:I17" si="6">D14*D18</f>
        <v>71.617600000000024</v>
      </c>
      <c r="E17" s="51">
        <f t="shared" si="6"/>
        <v>85.224944000000008</v>
      </c>
      <c r="F17" s="51">
        <f t="shared" si="6"/>
        <v>121.87461888000001</v>
      </c>
      <c r="G17" s="51">
        <f t="shared" si="6"/>
        <v>147.46828884480004</v>
      </c>
      <c r="H17" s="51">
        <f t="shared" si="6"/>
        <v>175.48726372531203</v>
      </c>
      <c r="I17" s="51">
        <f t="shared" si="6"/>
        <v>200.0554806468557</v>
      </c>
      <c r="J17" s="26"/>
      <c r="K17" s="26"/>
      <c r="L17" s="53"/>
      <c r="M17" s="26"/>
      <c r="N17" s="26"/>
      <c r="O17" s="26"/>
      <c r="P17" s="26"/>
      <c r="Q17" s="26"/>
      <c r="R17" s="26"/>
    </row>
    <row r="18" spans="2:18" ht="18" x14ac:dyDescent="0.2">
      <c r="B18" s="38" t="s">
        <v>13</v>
      </c>
      <c r="C18" s="56">
        <f>C17/C14</f>
        <v>0.13244001246494236</v>
      </c>
      <c r="D18" s="40">
        <v>0.17</v>
      </c>
      <c r="E18" s="40">
        <v>0.17</v>
      </c>
      <c r="F18" s="40">
        <v>0.21</v>
      </c>
      <c r="G18" s="40">
        <v>0.21</v>
      </c>
      <c r="H18" s="40">
        <v>0.21</v>
      </c>
      <c r="I18" s="40">
        <v>0.21</v>
      </c>
      <c r="J18" s="26"/>
      <c r="K18" s="26" t="s">
        <v>84</v>
      </c>
      <c r="L18" s="53">
        <f>L14+L15</f>
        <v>21784.39507112735</v>
      </c>
      <c r="M18" s="26"/>
      <c r="N18" s="26"/>
      <c r="O18" s="26"/>
      <c r="P18" s="26"/>
      <c r="Q18" s="26"/>
      <c r="R18" s="26"/>
    </row>
    <row r="19" spans="2:18" ht="18" x14ac:dyDescent="0.2">
      <c r="B19" s="38"/>
      <c r="C19" s="40"/>
      <c r="D19" s="40"/>
      <c r="E19" s="40"/>
      <c r="F19" s="40"/>
      <c r="G19" s="40"/>
      <c r="H19" s="40"/>
      <c r="I19" s="40"/>
      <c r="J19" s="26"/>
      <c r="K19" s="26"/>
      <c r="L19" s="57"/>
      <c r="M19" s="26"/>
      <c r="N19" s="26"/>
      <c r="O19" s="26"/>
      <c r="P19" s="26"/>
      <c r="Q19" s="26"/>
      <c r="R19" s="26"/>
    </row>
    <row r="20" spans="2:18" ht="18" x14ac:dyDescent="0.2">
      <c r="B20" s="130" t="s">
        <v>88</v>
      </c>
      <c r="C20" s="133">
        <v>2024</v>
      </c>
      <c r="D20" s="132">
        <v>2025</v>
      </c>
      <c r="E20" s="132">
        <v>2026</v>
      </c>
      <c r="F20" s="132">
        <v>2027</v>
      </c>
      <c r="G20" s="132">
        <v>2028</v>
      </c>
      <c r="H20" s="132">
        <v>2029</v>
      </c>
      <c r="I20" s="132">
        <v>2030</v>
      </c>
      <c r="J20" s="26"/>
      <c r="K20" s="134" t="s">
        <v>89</v>
      </c>
      <c r="L20" s="136"/>
      <c r="M20" s="26"/>
      <c r="N20" s="26"/>
      <c r="O20" s="26"/>
      <c r="P20" s="26"/>
      <c r="Q20" s="26"/>
      <c r="R20" s="26"/>
    </row>
    <row r="21" spans="2:18" ht="18" x14ac:dyDescent="0.2">
      <c r="B21" s="27"/>
      <c r="C21" s="28"/>
      <c r="D21" s="27"/>
      <c r="E21" s="27"/>
      <c r="F21" s="27"/>
      <c r="G21" s="27"/>
      <c r="H21" s="27"/>
      <c r="I21" s="27"/>
      <c r="J21" s="26"/>
      <c r="K21" s="26" t="s">
        <v>84</v>
      </c>
      <c r="L21" s="53">
        <f>L18</f>
        <v>21784.39507112735</v>
      </c>
      <c r="M21" s="26"/>
      <c r="N21" s="26"/>
      <c r="O21" s="26"/>
      <c r="P21" s="26"/>
      <c r="Q21" s="26"/>
      <c r="R21" s="26"/>
    </row>
    <row r="22" spans="2:18" ht="18" x14ac:dyDescent="0.2">
      <c r="B22" s="46" t="s">
        <v>15</v>
      </c>
      <c r="C22" s="33">
        <f>C14-C17</f>
        <v>278.39999999999998</v>
      </c>
      <c r="D22" s="34">
        <f>D14-D17</f>
        <v>349.66240000000005</v>
      </c>
      <c r="E22" s="34">
        <f t="shared" ref="E22:I22" si="7">E14-E17</f>
        <v>416.09825600000005</v>
      </c>
      <c r="F22" s="34">
        <f t="shared" si="7"/>
        <v>458.48070912000009</v>
      </c>
      <c r="G22" s="34">
        <f t="shared" si="7"/>
        <v>554.76165803520007</v>
      </c>
      <c r="H22" s="34">
        <f t="shared" si="7"/>
        <v>660.16637306188818</v>
      </c>
      <c r="I22" s="34">
        <f t="shared" si="7"/>
        <v>752.58966529055249</v>
      </c>
      <c r="J22" s="26"/>
      <c r="K22" s="26" t="s">
        <v>90</v>
      </c>
      <c r="L22" s="58">
        <f>-(65+319)</f>
        <v>-384</v>
      </c>
      <c r="M22" s="26"/>
      <c r="N22" s="26"/>
      <c r="O22" s="26"/>
      <c r="P22" s="26"/>
      <c r="Q22" s="26"/>
      <c r="R22" s="26"/>
    </row>
    <row r="23" spans="2:18" ht="18" x14ac:dyDescent="0.2">
      <c r="B23" s="44"/>
      <c r="C23" s="28"/>
      <c r="D23" s="27"/>
      <c r="E23" s="27"/>
      <c r="F23" s="27"/>
      <c r="G23" s="27"/>
      <c r="H23" s="27"/>
      <c r="I23" s="27"/>
      <c r="J23" s="26"/>
      <c r="K23" s="26" t="s">
        <v>91</v>
      </c>
      <c r="L23" s="58">
        <v>0</v>
      </c>
      <c r="M23" s="26"/>
      <c r="N23" s="26"/>
      <c r="O23" s="26"/>
      <c r="P23" s="26"/>
      <c r="Q23" s="26"/>
      <c r="R23" s="26"/>
    </row>
    <row r="24" spans="2:18" ht="18" x14ac:dyDescent="0.2">
      <c r="B24" s="46" t="s">
        <v>16</v>
      </c>
      <c r="C24" s="33">
        <f>C11</f>
        <v>118.8</v>
      </c>
      <c r="D24" s="34">
        <f t="shared" ref="D24:I24" si="8">D11</f>
        <v>151.66079999999999</v>
      </c>
      <c r="E24" s="34">
        <f t="shared" si="8"/>
        <v>214.8528</v>
      </c>
      <c r="F24" s="34">
        <f t="shared" si="8"/>
        <v>300.54115200000007</v>
      </c>
      <c r="G24" s="34">
        <f t="shared" si="8"/>
        <v>363.65479392000003</v>
      </c>
      <c r="H24" s="34">
        <f t="shared" si="8"/>
        <v>432.74920476480003</v>
      </c>
      <c r="I24" s="34">
        <f t="shared" si="8"/>
        <v>493.33409343187208</v>
      </c>
      <c r="J24" s="26"/>
      <c r="K24" s="26" t="s">
        <v>92</v>
      </c>
      <c r="L24" s="53">
        <v>1080.3</v>
      </c>
      <c r="M24" s="26"/>
      <c r="N24" s="26"/>
      <c r="O24" s="26"/>
      <c r="P24" s="26"/>
      <c r="Q24" s="26"/>
      <c r="R24" s="26"/>
    </row>
    <row r="25" spans="2:18" ht="18" x14ac:dyDescent="0.2">
      <c r="B25" s="38" t="s">
        <v>17</v>
      </c>
      <c r="C25" s="39">
        <f>C12</f>
        <v>4.5119635396885682E-2</v>
      </c>
      <c r="D25" s="40">
        <f t="shared" ref="D25:I25" si="9">D24/D5</f>
        <v>4.4999999999999998E-2</v>
      </c>
      <c r="E25" s="40">
        <f t="shared" si="9"/>
        <v>5.0999999999999997E-2</v>
      </c>
      <c r="F25" s="40">
        <f t="shared" si="9"/>
        <v>5.8000000000000003E-2</v>
      </c>
      <c r="G25" s="40">
        <f t="shared" si="9"/>
        <v>5.8000000000000003E-2</v>
      </c>
      <c r="H25" s="40">
        <f t="shared" si="9"/>
        <v>5.8000000000000003E-2</v>
      </c>
      <c r="I25" s="40">
        <f t="shared" si="9"/>
        <v>5.8000000000000003E-2</v>
      </c>
      <c r="J25" s="26"/>
      <c r="K25" s="26" t="s">
        <v>93</v>
      </c>
      <c r="L25" s="53">
        <f>SUM(L21:L24)</f>
        <v>22480.695071127349</v>
      </c>
      <c r="M25" s="26"/>
      <c r="N25" s="26"/>
      <c r="O25" s="26"/>
      <c r="P25" s="26"/>
      <c r="Q25" s="26"/>
      <c r="R25" s="26"/>
    </row>
    <row r="26" spans="2:18" ht="18" x14ac:dyDescent="0.2">
      <c r="B26" s="44"/>
      <c r="C26" s="28"/>
      <c r="D26" s="27"/>
      <c r="E26" s="27"/>
      <c r="F26" s="27"/>
      <c r="G26" s="27"/>
      <c r="H26" s="27"/>
      <c r="I26" s="27"/>
      <c r="J26" s="26"/>
      <c r="K26" s="26" t="s">
        <v>94</v>
      </c>
      <c r="L26" s="96">
        <v>289.3</v>
      </c>
      <c r="M26" s="26"/>
      <c r="N26" s="26"/>
      <c r="O26" s="26"/>
      <c r="P26" s="26"/>
      <c r="Q26" s="26"/>
      <c r="R26" s="26"/>
    </row>
    <row r="27" spans="2:18" ht="19" thickBot="1" x14ac:dyDescent="0.25">
      <c r="B27" s="46" t="s">
        <v>18</v>
      </c>
      <c r="C27" s="60">
        <f>Historicals!H26</f>
        <v>-68.7</v>
      </c>
      <c r="D27" s="61">
        <f>D5*D28</f>
        <v>-104.47744</v>
      </c>
      <c r="E27" s="61">
        <f t="shared" ref="E27:I27" si="10">E5*E28</f>
        <v>-143.23520000000002</v>
      </c>
      <c r="F27" s="61">
        <f t="shared" si="10"/>
        <v>-191.72452800000002</v>
      </c>
      <c r="G27" s="61">
        <f t="shared" si="10"/>
        <v>-231.98667888</v>
      </c>
      <c r="H27" s="61">
        <f t="shared" si="10"/>
        <v>-276.06414786720001</v>
      </c>
      <c r="I27" s="61">
        <f t="shared" si="10"/>
        <v>-314.71312856860806</v>
      </c>
      <c r="J27" s="26"/>
      <c r="K27" s="134" t="s">
        <v>95</v>
      </c>
      <c r="L27" s="415">
        <f>L25/L26</f>
        <v>77.707207297363809</v>
      </c>
      <c r="M27" s="26"/>
      <c r="N27" s="26"/>
      <c r="O27" s="26"/>
      <c r="P27" s="26"/>
      <c r="Q27" s="26"/>
      <c r="R27" s="26"/>
    </row>
    <row r="28" spans="2:18" ht="19" thickTop="1" x14ac:dyDescent="0.2">
      <c r="B28" s="38" t="s">
        <v>19</v>
      </c>
      <c r="C28" s="39">
        <f>C27/C5</f>
        <v>-2.6091910368401066E-2</v>
      </c>
      <c r="D28" s="40">
        <v>-3.1E-2</v>
      </c>
      <c r="E28" s="40">
        <v>-3.4000000000000002E-2</v>
      </c>
      <c r="F28" s="40">
        <v>-3.6999999999999998E-2</v>
      </c>
      <c r="G28" s="40">
        <v>-3.6999999999999998E-2</v>
      </c>
      <c r="H28" s="40">
        <v>-3.6999999999999998E-2</v>
      </c>
      <c r="I28" s="40">
        <v>-3.6999999999999998E-2</v>
      </c>
      <c r="J28" s="26"/>
      <c r="K28" s="26"/>
      <c r="L28" s="29"/>
      <c r="M28" s="26"/>
      <c r="N28" s="26"/>
      <c r="O28" s="26"/>
      <c r="P28" s="26"/>
      <c r="Q28" s="26"/>
      <c r="R28" s="26"/>
    </row>
    <row r="29" spans="2:18" ht="18" x14ac:dyDescent="0.2">
      <c r="B29" s="44"/>
      <c r="C29" s="28"/>
      <c r="D29" s="27"/>
      <c r="E29" s="27"/>
      <c r="F29" s="27"/>
      <c r="G29" s="27"/>
      <c r="H29" s="27"/>
      <c r="I29" s="27"/>
      <c r="J29" s="26"/>
      <c r="K29" s="26"/>
      <c r="L29" s="35"/>
      <c r="M29" s="26"/>
      <c r="N29" s="26"/>
      <c r="O29" s="26"/>
      <c r="P29" s="26"/>
      <c r="Q29" s="26"/>
      <c r="R29" s="26"/>
    </row>
    <row r="30" spans="2:18" ht="19" thickBot="1" x14ac:dyDescent="0.25">
      <c r="B30" s="46" t="s">
        <v>96</v>
      </c>
      <c r="C30" s="60">
        <f>Historicals!H29</f>
        <v>161.1</v>
      </c>
      <c r="D30" s="61">
        <f t="shared" ref="D30:I30" si="11">D31*D5</f>
        <v>134.80960000000002</v>
      </c>
      <c r="E30" s="61">
        <f t="shared" si="11"/>
        <v>147.44800000000001</v>
      </c>
      <c r="F30" s="61">
        <f t="shared" si="11"/>
        <v>181.36104000000003</v>
      </c>
      <c r="G30" s="61">
        <f t="shared" si="11"/>
        <v>188.09730719999999</v>
      </c>
      <c r="H30" s="61">
        <f t="shared" si="11"/>
        <v>223.83579556800001</v>
      </c>
      <c r="I30" s="61">
        <f t="shared" si="11"/>
        <v>212.64400578960004</v>
      </c>
      <c r="J30" s="26"/>
      <c r="K30" s="26"/>
      <c r="L30" s="73"/>
      <c r="M30" s="26"/>
      <c r="N30" s="26"/>
      <c r="O30" s="26"/>
      <c r="P30" s="26"/>
      <c r="Q30" s="26"/>
      <c r="R30" s="26"/>
    </row>
    <row r="31" spans="2:18" ht="18" x14ac:dyDescent="0.2">
      <c r="B31" s="38" t="s">
        <v>22</v>
      </c>
      <c r="C31" s="39">
        <f>C30/C5</f>
        <v>6.1184960121534369E-2</v>
      </c>
      <c r="D31" s="40">
        <v>0.04</v>
      </c>
      <c r="E31" s="40">
        <v>3.5000000000000003E-2</v>
      </c>
      <c r="F31" s="40">
        <v>3.5000000000000003E-2</v>
      </c>
      <c r="G31" s="40">
        <v>0.03</v>
      </c>
      <c r="H31" s="40">
        <v>0.03</v>
      </c>
      <c r="I31" s="40">
        <v>2.5000000000000001E-2</v>
      </c>
      <c r="J31" s="26"/>
      <c r="K31" s="473" t="s">
        <v>97</v>
      </c>
      <c r="L31" s="474"/>
      <c r="M31" s="474" t="s">
        <v>98</v>
      </c>
      <c r="N31" s="474"/>
      <c r="O31" s="474"/>
      <c r="P31" s="474"/>
      <c r="Q31" s="475"/>
      <c r="R31" s="351"/>
    </row>
    <row r="32" spans="2:18" ht="18" x14ac:dyDescent="0.2">
      <c r="B32" s="44"/>
      <c r="C32" s="28"/>
      <c r="D32" s="27"/>
      <c r="E32" s="27"/>
      <c r="F32" s="27"/>
      <c r="G32" s="27"/>
      <c r="H32" s="27"/>
      <c r="I32" s="27"/>
      <c r="J32" s="26"/>
      <c r="K32" s="62"/>
      <c r="L32" s="76">
        <f>L27</f>
        <v>77.707207297363809</v>
      </c>
      <c r="M32" s="77">
        <v>4</v>
      </c>
      <c r="N32" s="77">
        <v>6</v>
      </c>
      <c r="O32" s="78">
        <v>8</v>
      </c>
      <c r="P32" s="77">
        <v>10</v>
      </c>
      <c r="Q32" s="79">
        <v>12</v>
      </c>
      <c r="R32" s="351"/>
    </row>
    <row r="33" spans="2:18" ht="18" x14ac:dyDescent="0.2">
      <c r="B33" s="46" t="s">
        <v>99</v>
      </c>
      <c r="C33" s="63">
        <f>C22+C24+C27+C30</f>
        <v>489.6</v>
      </c>
      <c r="D33" s="64">
        <f>D22+D24+D27+D30</f>
        <v>531.65536000000009</v>
      </c>
      <c r="E33" s="64">
        <f t="shared" ref="E33:I33" si="12">E22+E24+E27+E30</f>
        <v>635.16385600000012</v>
      </c>
      <c r="F33" s="64">
        <f t="shared" si="12"/>
        <v>748.65837312000008</v>
      </c>
      <c r="G33" s="64">
        <f t="shared" si="12"/>
        <v>874.52708027519998</v>
      </c>
      <c r="H33" s="64">
        <f t="shared" si="12"/>
        <v>1040.6872255274882</v>
      </c>
      <c r="I33" s="64">
        <f t="shared" si="12"/>
        <v>1143.8546359434165</v>
      </c>
      <c r="J33" s="26"/>
      <c r="K33" s="476" t="s">
        <v>72</v>
      </c>
      <c r="L33" s="80">
        <v>9.8000000000000004E-2</v>
      </c>
      <c r="M33" s="81">
        <f t="dataTable" ref="M33:Q37" dt2D="1" dtr="1" r1="L8" r2="C39" ca="1"/>
        <v>102.12486950664764</v>
      </c>
      <c r="N33" s="82">
        <v>103.94799585522414</v>
      </c>
      <c r="O33" s="82">
        <v>105.77112220380064</v>
      </c>
      <c r="P33" s="82">
        <v>107.59424855237718</v>
      </c>
      <c r="Q33" s="83">
        <v>109.41737490095367</v>
      </c>
      <c r="R33" s="26"/>
    </row>
    <row r="34" spans="2:18" ht="18" x14ac:dyDescent="0.2">
      <c r="B34" s="27"/>
      <c r="C34" s="27"/>
      <c r="D34" s="27"/>
      <c r="E34" s="27"/>
      <c r="F34" s="27"/>
      <c r="G34" s="27"/>
      <c r="H34" s="27"/>
      <c r="I34" s="27"/>
      <c r="J34" s="26"/>
      <c r="K34" s="476"/>
      <c r="L34" s="80">
        <v>0.10299999999999999</v>
      </c>
      <c r="M34" s="84">
        <v>88.664521766115243</v>
      </c>
      <c r="N34" s="81">
        <v>90.226005412542435</v>
      </c>
      <c r="O34" s="82">
        <v>91.787489058969612</v>
      </c>
      <c r="P34" s="85">
        <v>93.348972705396804</v>
      </c>
      <c r="Q34" s="86">
        <v>94.910456351823996</v>
      </c>
      <c r="R34" s="26"/>
    </row>
    <row r="35" spans="2:18" ht="18" x14ac:dyDescent="0.2">
      <c r="B35" s="130" t="s">
        <v>100</v>
      </c>
      <c r="C35" s="133">
        <v>2024</v>
      </c>
      <c r="D35" s="132">
        <v>2025</v>
      </c>
      <c r="E35" s="132">
        <v>2026</v>
      </c>
      <c r="F35" s="132">
        <v>2027</v>
      </c>
      <c r="G35" s="132">
        <v>2028</v>
      </c>
      <c r="H35" s="132">
        <v>2029</v>
      </c>
      <c r="I35" s="132">
        <v>2030</v>
      </c>
      <c r="J35" s="26"/>
      <c r="K35" s="476"/>
      <c r="L35" s="80">
        <v>0.108</v>
      </c>
      <c r="M35" s="84">
        <v>78.551067270813419</v>
      </c>
      <c r="N35" s="84">
        <v>79.916581584104662</v>
      </c>
      <c r="O35" s="87">
        <v>81.282095897395905</v>
      </c>
      <c r="P35" s="88">
        <v>82.647610210687148</v>
      </c>
      <c r="Q35" s="86">
        <v>84.013124523978391</v>
      </c>
      <c r="R35" s="26"/>
    </row>
    <row r="36" spans="2:18" ht="18" x14ac:dyDescent="0.2">
      <c r="B36" s="27"/>
      <c r="C36" s="28"/>
      <c r="D36" s="27"/>
      <c r="E36" s="27"/>
      <c r="F36" s="27"/>
      <c r="G36" s="27"/>
      <c r="H36" s="27"/>
      <c r="I36" s="27"/>
      <c r="J36" s="26"/>
      <c r="K36" s="476"/>
      <c r="L36" s="80">
        <v>0.113</v>
      </c>
      <c r="M36" s="84">
        <v>70.665979162907121</v>
      </c>
      <c r="N36" s="89">
        <v>71.87922827623278</v>
      </c>
      <c r="O36" s="90">
        <v>73.092477389558454</v>
      </c>
      <c r="P36" s="91">
        <v>74.305726502884141</v>
      </c>
      <c r="Q36" s="86">
        <v>75.518975616209801</v>
      </c>
      <c r="R36" s="26"/>
    </row>
    <row r="37" spans="2:18" ht="19" thickBot="1" x14ac:dyDescent="0.25">
      <c r="B37" s="32" t="s">
        <v>101</v>
      </c>
      <c r="C37" s="65"/>
      <c r="D37" s="66">
        <v>0.5</v>
      </c>
      <c r="E37" s="66">
        <f>D37+1</f>
        <v>1.5</v>
      </c>
      <c r="F37" s="66">
        <f t="shared" ref="F37:I37" si="13">E37+1</f>
        <v>2.5</v>
      </c>
      <c r="G37" s="66">
        <f t="shared" si="13"/>
        <v>3.5</v>
      </c>
      <c r="H37" s="66">
        <f t="shared" si="13"/>
        <v>4.5</v>
      </c>
      <c r="I37" s="66">
        <f t="shared" si="13"/>
        <v>5.5</v>
      </c>
      <c r="J37" s="26"/>
      <c r="K37" s="477"/>
      <c r="L37" s="92">
        <v>0.11799999999999999</v>
      </c>
      <c r="M37" s="93">
        <v>64.339538188628751</v>
      </c>
      <c r="N37" s="94">
        <v>65.431072904550163</v>
      </c>
      <c r="O37" s="94">
        <v>66.522607620471575</v>
      </c>
      <c r="P37" s="94">
        <v>67.614142336393002</v>
      </c>
      <c r="Q37" s="95">
        <v>68.7056770523144</v>
      </c>
      <c r="R37" s="26"/>
    </row>
    <row r="38" spans="2:18" ht="18" x14ac:dyDescent="0.2">
      <c r="B38" s="27"/>
      <c r="C38" s="28"/>
      <c r="D38" s="27"/>
      <c r="E38" s="27"/>
      <c r="F38" s="27"/>
      <c r="G38" s="27"/>
      <c r="H38" s="27"/>
      <c r="I38" s="27"/>
      <c r="J38" s="26"/>
      <c r="K38" s="26"/>
      <c r="L38" s="53"/>
      <c r="M38" s="26"/>
      <c r="N38" s="26"/>
      <c r="O38" s="26"/>
      <c r="P38" s="26"/>
      <c r="Q38" s="26"/>
      <c r="R38" s="26"/>
    </row>
    <row r="39" spans="2:18" ht="18" x14ac:dyDescent="0.2">
      <c r="B39" s="32" t="s">
        <v>72</v>
      </c>
      <c r="C39" s="67">
        <v>0.108</v>
      </c>
      <c r="D39" s="68">
        <f t="shared" ref="D39:G39" si="14">C39</f>
        <v>0.108</v>
      </c>
      <c r="E39" s="68">
        <f t="shared" si="14"/>
        <v>0.108</v>
      </c>
      <c r="F39" s="68">
        <f t="shared" si="14"/>
        <v>0.108</v>
      </c>
      <c r="G39" s="68">
        <f t="shared" si="14"/>
        <v>0.108</v>
      </c>
      <c r="H39" s="68">
        <f>G39</f>
        <v>0.108</v>
      </c>
      <c r="I39" s="68">
        <f>H39</f>
        <v>0.108</v>
      </c>
      <c r="R39" s="26"/>
    </row>
    <row r="40" spans="2:18" ht="18" x14ac:dyDescent="0.2">
      <c r="B40" s="27"/>
      <c r="C40" s="28"/>
      <c r="D40" s="27"/>
      <c r="E40" s="27"/>
      <c r="F40" s="27"/>
      <c r="G40" s="27"/>
      <c r="H40" s="27"/>
      <c r="I40" s="27"/>
      <c r="R40" s="26"/>
    </row>
    <row r="41" spans="2:18" ht="18" x14ac:dyDescent="0.2">
      <c r="B41" s="32" t="s">
        <v>102</v>
      </c>
      <c r="C41" s="69">
        <f>(1/((1+$J$38)^C37))</f>
        <v>1</v>
      </c>
      <c r="D41" s="70">
        <f>(1/((1+$C$39)^D37))</f>
        <v>0.95001425032063291</v>
      </c>
      <c r="E41" s="70">
        <f t="shared" ref="E41:I41" si="15">(1/((1+$C$39)^E37))</f>
        <v>0.8574135833218709</v>
      </c>
      <c r="F41" s="70">
        <f t="shared" si="15"/>
        <v>0.77383897411721181</v>
      </c>
      <c r="G41" s="70">
        <f t="shared" si="15"/>
        <v>0.69841062645957752</v>
      </c>
      <c r="H41" s="70">
        <f t="shared" si="15"/>
        <v>0.63033450041478101</v>
      </c>
      <c r="I41" s="70">
        <f t="shared" si="15"/>
        <v>0.56889395344294313</v>
      </c>
      <c r="R41" s="26"/>
    </row>
    <row r="42" spans="2:18" ht="18" x14ac:dyDescent="0.2">
      <c r="B42" s="27"/>
      <c r="C42" s="28"/>
      <c r="D42" s="27"/>
      <c r="E42" s="27"/>
      <c r="F42" s="27"/>
      <c r="G42" s="27"/>
      <c r="H42" s="27"/>
      <c r="I42" s="27"/>
      <c r="R42" s="26"/>
    </row>
    <row r="43" spans="2:18" ht="18" x14ac:dyDescent="0.2">
      <c r="B43" s="32" t="s">
        <v>103</v>
      </c>
      <c r="C43" s="71">
        <f>C33*C41</f>
        <v>489.6</v>
      </c>
      <c r="D43" s="72">
        <f>D33*D41</f>
        <v>505.08016825934629</v>
      </c>
      <c r="E43" s="72">
        <f t="shared" ref="E43:I43" si="16">E33*E41</f>
        <v>544.59811776949687</v>
      </c>
      <c r="F43" s="72">
        <f t="shared" si="16"/>
        <v>579.34102741944162</v>
      </c>
      <c r="G43" s="72">
        <f t="shared" si="16"/>
        <v>610.77900599086763</v>
      </c>
      <c r="H43" s="72">
        <f t="shared" si="16"/>
        <v>655.98106239091385</v>
      </c>
      <c r="I43" s="72">
        <f t="shared" si="16"/>
        <v>650.73198600588864</v>
      </c>
      <c r="R43" s="26"/>
    </row>
    <row r="44" spans="2:18" ht="18" x14ac:dyDescent="0.2">
      <c r="B44" s="26"/>
      <c r="C44" s="26"/>
      <c r="D44" s="26"/>
      <c r="E44" s="26"/>
      <c r="F44" s="26"/>
      <c r="G44" s="26"/>
      <c r="H44" s="26"/>
      <c r="I44" s="26"/>
      <c r="R44" s="26"/>
    </row>
  </sheetData>
  <mergeCells count="5">
    <mergeCell ref="B1:V1"/>
    <mergeCell ref="K3:L3"/>
    <mergeCell ref="K31:L31"/>
    <mergeCell ref="M31:Q31"/>
    <mergeCell ref="K33:K37"/>
  </mergeCells>
  <conditionalFormatting sqref="M33:Q37">
    <cfRule type="colorScale" priority="1">
      <colorScale>
        <cfvo type="min"/>
        <cfvo type="max"/>
        <color rgb="FFFCFCFF"/>
        <color rgb="FF63BE7B"/>
      </colorScale>
    </cfRule>
  </conditionalFormatting>
  <conditionalFormatting sqref="M41:Q45"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25971-16FB-4DDD-8064-105EB38D81EA}">
  <sheetPr>
    <tabColor rgb="FF002060"/>
  </sheetPr>
  <dimension ref="B1:V49"/>
  <sheetViews>
    <sheetView showGridLines="0" topLeftCell="D1" zoomScale="75" zoomScaleNormal="70" workbookViewId="0">
      <selection activeCell="L11" sqref="L11"/>
    </sheetView>
  </sheetViews>
  <sheetFormatPr baseColWidth="10" defaultColWidth="9.1640625" defaultRowHeight="15" x14ac:dyDescent="0.2"/>
  <cols>
    <col min="1" max="1" width="9.1640625" style="25"/>
    <col min="2" max="2" width="48.33203125" style="25" bestFit="1" customWidth="1"/>
    <col min="3" max="10" width="16.6640625" style="25" customWidth="1"/>
    <col min="11" max="11" width="38.5" style="25" bestFit="1" customWidth="1"/>
    <col min="12" max="17" width="16.6640625" style="25" customWidth="1"/>
    <col min="18" max="18" width="44" style="25" customWidth="1"/>
    <col min="19" max="19" width="14.6640625" style="25" customWidth="1"/>
    <col min="20" max="22" width="16.6640625" style="25" customWidth="1"/>
    <col min="23" max="16384" width="9.1640625" style="25"/>
  </cols>
  <sheetData>
    <row r="1" spans="2:22" ht="45" x14ac:dyDescent="0.45">
      <c r="B1" s="472" t="s">
        <v>67</v>
      </c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</row>
    <row r="3" spans="2:22" ht="18" x14ac:dyDescent="0.2">
      <c r="B3" s="97" t="s">
        <v>68</v>
      </c>
      <c r="C3" s="98">
        <v>2024</v>
      </c>
      <c r="D3" s="99">
        <v>2025</v>
      </c>
      <c r="E3" s="99">
        <v>2026</v>
      </c>
      <c r="F3" s="99">
        <v>2027</v>
      </c>
      <c r="G3" s="99">
        <v>2028</v>
      </c>
      <c r="H3" s="99">
        <v>2029</v>
      </c>
      <c r="I3" s="99">
        <v>2030</v>
      </c>
      <c r="J3" s="26"/>
      <c r="K3" s="478" t="s">
        <v>69</v>
      </c>
      <c r="L3" s="478"/>
      <c r="M3" s="26"/>
      <c r="P3" s="26"/>
      <c r="Q3" s="26"/>
      <c r="R3" s="137" t="s">
        <v>70</v>
      </c>
      <c r="S3" s="104"/>
    </row>
    <row r="4" spans="2:22" ht="18" x14ac:dyDescent="0.2">
      <c r="B4" s="27"/>
      <c r="C4" s="28" t="s">
        <v>71</v>
      </c>
      <c r="D4" s="27"/>
      <c r="E4" s="27"/>
      <c r="F4" s="27"/>
      <c r="G4" s="27"/>
      <c r="H4" s="27"/>
      <c r="I4" s="27"/>
      <c r="J4" s="26"/>
      <c r="K4" s="26" t="s">
        <v>72</v>
      </c>
      <c r="L4" s="75">
        <f>C39</f>
        <v>0.108</v>
      </c>
      <c r="M4" s="26"/>
      <c r="P4" s="26"/>
      <c r="Q4" s="26"/>
      <c r="R4" s="30" t="s">
        <v>73</v>
      </c>
      <c r="S4" s="31">
        <v>2.47E-2</v>
      </c>
    </row>
    <row r="5" spans="2:22" ht="18" x14ac:dyDescent="0.2">
      <c r="B5" s="32" t="s">
        <v>1</v>
      </c>
      <c r="C5" s="33">
        <f>Historicals!H6</f>
        <v>2633</v>
      </c>
      <c r="D5" s="34">
        <f>C5*(1+D6)</f>
        <v>3159.6</v>
      </c>
      <c r="E5" s="34">
        <f t="shared" ref="E5:H5" si="0">D5*(1+E6)</f>
        <v>3728.3279999999995</v>
      </c>
      <c r="F5" s="34">
        <f t="shared" si="0"/>
        <v>4324.8604799999994</v>
      </c>
      <c r="G5" s="34">
        <f t="shared" si="0"/>
        <v>4973.5895519999985</v>
      </c>
      <c r="H5" s="34">
        <f t="shared" si="0"/>
        <v>5669.8920892799988</v>
      </c>
      <c r="I5" s="34">
        <f>H5*(1+I6)</f>
        <v>6406.9780608863985</v>
      </c>
      <c r="J5" s="26"/>
      <c r="K5" s="26" t="s">
        <v>74</v>
      </c>
      <c r="L5" s="35">
        <f>I33</f>
        <v>1085.1607633583617</v>
      </c>
      <c r="M5" s="26"/>
      <c r="P5" s="26"/>
      <c r="Q5" s="26"/>
      <c r="R5" s="36" t="s">
        <v>75</v>
      </c>
      <c r="S5" s="37">
        <v>2.3300000000000001E-2</v>
      </c>
    </row>
    <row r="6" spans="2:22" ht="18" x14ac:dyDescent="0.2">
      <c r="B6" s="38" t="s">
        <v>3</v>
      </c>
      <c r="C6" s="39">
        <f>Historicals!H7</f>
        <v>0.31946880481082429</v>
      </c>
      <c r="D6" s="40">
        <v>0.2</v>
      </c>
      <c r="E6" s="40">
        <v>0.18</v>
      </c>
      <c r="F6" s="40">
        <v>0.16</v>
      </c>
      <c r="G6" s="40">
        <v>0.15</v>
      </c>
      <c r="H6" s="40">
        <v>0.14000000000000001</v>
      </c>
      <c r="I6" s="40">
        <v>0.13</v>
      </c>
      <c r="J6" s="26"/>
      <c r="K6" s="26"/>
      <c r="L6" s="41"/>
      <c r="M6" s="26"/>
      <c r="P6" s="26"/>
      <c r="Q6" s="26"/>
      <c r="R6" s="42" t="s">
        <v>76</v>
      </c>
      <c r="S6" s="43">
        <v>1.42</v>
      </c>
    </row>
    <row r="7" spans="2:22" ht="18" x14ac:dyDescent="0.2">
      <c r="B7" s="44"/>
      <c r="C7" s="28"/>
      <c r="D7" s="27"/>
      <c r="E7" s="27"/>
      <c r="F7" s="27"/>
      <c r="G7" s="27"/>
      <c r="H7" s="27"/>
      <c r="I7" s="27"/>
      <c r="J7" s="26"/>
      <c r="K7" s="26" t="s">
        <v>77</v>
      </c>
      <c r="L7" s="45">
        <v>0.09</v>
      </c>
      <c r="M7" s="26"/>
      <c r="P7" s="26"/>
      <c r="Q7" s="26"/>
      <c r="R7" s="42" t="s">
        <v>78</v>
      </c>
      <c r="S7" s="37">
        <f>S4+S5</f>
        <v>4.8000000000000001E-2</v>
      </c>
    </row>
    <row r="8" spans="2:22" ht="18" x14ac:dyDescent="0.2">
      <c r="B8" s="46" t="s">
        <v>4</v>
      </c>
      <c r="C8" s="33">
        <f>Historicals!H9</f>
        <v>439.7</v>
      </c>
      <c r="D8" s="34">
        <f t="shared" ref="D8:I8" si="1">D9*D5</f>
        <v>565.55520000000001</v>
      </c>
      <c r="E8" s="34">
        <f>E9*E5</f>
        <v>704.63841599999989</v>
      </c>
      <c r="F8" s="34">
        <f t="shared" si="1"/>
        <v>854.14187663999996</v>
      </c>
      <c r="G8" s="34">
        <f t="shared" si="1"/>
        <v>1024.5386693279997</v>
      </c>
      <c r="H8" s="34">
        <f t="shared" si="1"/>
        <v>1210.4982737035198</v>
      </c>
      <c r="I8" s="34">
        <f t="shared" si="1"/>
        <v>1412.7118957111823</v>
      </c>
      <c r="J8" s="26"/>
      <c r="K8" s="26" t="s">
        <v>79</v>
      </c>
      <c r="L8" s="47">
        <v>8</v>
      </c>
      <c r="M8" s="351"/>
      <c r="P8" s="26"/>
      <c r="Q8" s="26"/>
      <c r="R8" s="48" t="s">
        <v>80</v>
      </c>
      <c r="S8" s="49">
        <f>S7*S6</f>
        <v>6.8159999999999998E-2</v>
      </c>
    </row>
    <row r="9" spans="2:22" ht="18" x14ac:dyDescent="0.2">
      <c r="B9" s="38" t="s">
        <v>6</v>
      </c>
      <c r="C9" s="39">
        <f>Historicals!H10</f>
        <v>0.16699582225598175</v>
      </c>
      <c r="D9" s="40">
        <f>C9+0.012</f>
        <v>0.17899582225598176</v>
      </c>
      <c r="E9" s="40">
        <f>D9+0.01</f>
        <v>0.18899582225598177</v>
      </c>
      <c r="F9" s="40">
        <f>E9+0.0085</f>
        <v>0.19749582225598178</v>
      </c>
      <c r="G9" s="40">
        <f>F9+0.0085</f>
        <v>0.20599582225598179</v>
      </c>
      <c r="H9" s="40">
        <f>G9+0.0075</f>
        <v>0.21349582225598179</v>
      </c>
      <c r="I9" s="40">
        <f>H9+0.007</f>
        <v>0.2204958222559818</v>
      </c>
      <c r="J9" s="26"/>
      <c r="K9" s="26" t="s">
        <v>81</v>
      </c>
      <c r="L9" s="74">
        <f>S8</f>
        <v>6.8159999999999998E-2</v>
      </c>
      <c r="M9" s="26"/>
      <c r="N9" s="26"/>
      <c r="O9" s="26"/>
      <c r="P9" s="26"/>
      <c r="Q9" s="26"/>
      <c r="R9" s="26"/>
    </row>
    <row r="10" spans="2:22" ht="18" x14ac:dyDescent="0.2">
      <c r="B10" s="44"/>
      <c r="C10" s="28"/>
      <c r="D10" s="27"/>
      <c r="E10" s="27"/>
      <c r="F10" s="27"/>
      <c r="G10" s="27"/>
      <c r="H10" s="27"/>
      <c r="I10" s="27"/>
      <c r="J10" s="26"/>
      <c r="K10" s="26" t="s">
        <v>82</v>
      </c>
      <c r="L10" s="35">
        <f>(((L5*(1+L9))+(L5*(L8/2)*(L7-L9)))/(F39-L9))</f>
        <v>31474.020212747339</v>
      </c>
      <c r="M10" s="26"/>
      <c r="N10" s="26"/>
      <c r="O10" s="26"/>
      <c r="P10" s="26"/>
      <c r="Q10" s="26"/>
      <c r="R10" s="26"/>
    </row>
    <row r="11" spans="2:22" ht="18" x14ac:dyDescent="0.2">
      <c r="B11" s="46" t="s">
        <v>7</v>
      </c>
      <c r="C11" s="33">
        <f>Historicals!H12</f>
        <v>118.8</v>
      </c>
      <c r="D11" s="34">
        <f>D12*D5</f>
        <v>142.18199999999999</v>
      </c>
      <c r="E11" s="34">
        <f t="shared" ref="E11:I11" si="2">E12*E5</f>
        <v>190.14472799999996</v>
      </c>
      <c r="F11" s="34">
        <f t="shared" si="2"/>
        <v>250.84190783999998</v>
      </c>
      <c r="G11" s="34">
        <f t="shared" si="2"/>
        <v>288.46819401599993</v>
      </c>
      <c r="H11" s="34">
        <f t="shared" si="2"/>
        <v>328.85374117823994</v>
      </c>
      <c r="I11" s="34">
        <f t="shared" si="2"/>
        <v>371.60472753141113</v>
      </c>
      <c r="J11" s="26"/>
      <c r="K11" s="26" t="s">
        <v>83</v>
      </c>
      <c r="L11" s="50">
        <f>1/((1+I39)^(I3-D3))</f>
        <v>0.59882675786277884</v>
      </c>
      <c r="M11" s="26"/>
      <c r="N11" s="26"/>
      <c r="O11" s="26"/>
      <c r="P11" s="26"/>
      <c r="Q11" s="26"/>
      <c r="R11" s="26"/>
    </row>
    <row r="12" spans="2:22" ht="18" x14ac:dyDescent="0.2">
      <c r="B12" s="38" t="s">
        <v>17</v>
      </c>
      <c r="C12" s="39">
        <f>C11/C5</f>
        <v>4.5119635396885682E-2</v>
      </c>
      <c r="D12" s="40">
        <v>4.4999999999999998E-2</v>
      </c>
      <c r="E12" s="40">
        <v>5.0999999999999997E-2</v>
      </c>
      <c r="F12" s="40">
        <v>5.8000000000000003E-2</v>
      </c>
      <c r="G12" s="40">
        <v>5.8000000000000003E-2</v>
      </c>
      <c r="H12" s="40">
        <v>5.8000000000000003E-2</v>
      </c>
      <c r="I12" s="40">
        <v>5.8000000000000003E-2</v>
      </c>
      <c r="J12" s="26"/>
      <c r="K12" s="26"/>
      <c r="L12" s="26"/>
      <c r="M12" s="26"/>
      <c r="N12" s="26"/>
      <c r="O12" s="26"/>
      <c r="P12" s="26"/>
      <c r="Q12" s="26"/>
      <c r="R12" s="26"/>
    </row>
    <row r="13" spans="2:22" ht="18" x14ac:dyDescent="0.2">
      <c r="B13" s="44"/>
      <c r="C13" s="28"/>
      <c r="D13" s="27"/>
      <c r="E13" s="27"/>
      <c r="F13" s="27"/>
      <c r="G13" s="27"/>
      <c r="H13" s="27"/>
      <c r="I13" s="27"/>
      <c r="J13" s="26"/>
      <c r="K13" s="100" t="s">
        <v>84</v>
      </c>
      <c r="L13" s="101"/>
      <c r="M13" s="26"/>
      <c r="N13" s="26"/>
      <c r="O13" s="26"/>
      <c r="P13" s="26"/>
      <c r="Q13" s="26"/>
      <c r="R13" s="26"/>
    </row>
    <row r="14" spans="2:22" ht="18" x14ac:dyDescent="0.2">
      <c r="B14" s="46" t="s">
        <v>9</v>
      </c>
      <c r="C14" s="33">
        <f>Historicals!H15</f>
        <v>320.89999999999998</v>
      </c>
      <c r="D14" s="51">
        <f t="shared" ref="D14:I14" si="3">D8-D11</f>
        <v>423.3732</v>
      </c>
      <c r="E14" s="51">
        <f t="shared" si="3"/>
        <v>514.49368799999991</v>
      </c>
      <c r="F14" s="51">
        <f t="shared" si="3"/>
        <v>603.29996879999999</v>
      </c>
      <c r="G14" s="51">
        <f t="shared" si="3"/>
        <v>736.07047531199987</v>
      </c>
      <c r="H14" s="51">
        <f t="shared" si="3"/>
        <v>881.64453252527983</v>
      </c>
      <c r="I14" s="51">
        <f t="shared" si="3"/>
        <v>1041.1071681797712</v>
      </c>
      <c r="J14" s="26"/>
      <c r="K14" s="26" t="s">
        <v>85</v>
      </c>
      <c r="L14" s="52">
        <f>SUM(G43:J43)</f>
        <v>2048.606801889192</v>
      </c>
      <c r="M14" s="26"/>
      <c r="N14" s="26"/>
      <c r="O14" s="26"/>
      <c r="P14" s="26"/>
      <c r="Q14" s="26"/>
      <c r="R14" s="26"/>
    </row>
    <row r="15" spans="2:22" ht="18" x14ac:dyDescent="0.2">
      <c r="B15" s="38" t="s">
        <v>10</v>
      </c>
      <c r="C15" s="39">
        <f>C14/C5</f>
        <v>0.12187618685909608</v>
      </c>
      <c r="D15" s="40">
        <f>D14/D5</f>
        <v>0.13399582225598178</v>
      </c>
      <c r="E15" s="40">
        <f t="shared" ref="E15:I15" si="4">E14/E5</f>
        <v>0.13799582225598175</v>
      </c>
      <c r="F15" s="40">
        <f t="shared" si="4"/>
        <v>0.13949582225598178</v>
      </c>
      <c r="G15" s="40">
        <f t="shared" si="4"/>
        <v>0.14799582225598179</v>
      </c>
      <c r="H15" s="40">
        <f t="shared" si="4"/>
        <v>0.15549582225598177</v>
      </c>
      <c r="I15" s="40">
        <f t="shared" si="4"/>
        <v>0.1624958222559818</v>
      </c>
      <c r="J15" s="26"/>
      <c r="K15" s="26" t="s">
        <v>86</v>
      </c>
      <c r="L15" s="53">
        <f>L10*L11</f>
        <v>18847.485480907057</v>
      </c>
      <c r="M15" s="26"/>
      <c r="N15" s="26"/>
      <c r="O15" s="26"/>
      <c r="P15" s="26"/>
      <c r="Q15" s="26"/>
      <c r="R15" s="26"/>
    </row>
    <row r="16" spans="2:22" ht="18" x14ac:dyDescent="0.2">
      <c r="B16" s="44"/>
      <c r="C16" s="28"/>
      <c r="D16" s="27"/>
      <c r="E16" s="27"/>
      <c r="F16" s="27"/>
      <c r="G16" s="27"/>
      <c r="H16" s="27"/>
      <c r="I16" s="27"/>
      <c r="J16" s="26"/>
      <c r="K16" s="54" t="s">
        <v>87</v>
      </c>
      <c r="L16" s="55">
        <f>L15/L18</f>
        <v>0.90196220546097938</v>
      </c>
      <c r="M16" s="351"/>
      <c r="N16" s="26"/>
      <c r="O16" s="26"/>
      <c r="P16" s="26"/>
      <c r="Q16" s="26"/>
      <c r="R16" s="26"/>
    </row>
    <row r="17" spans="2:18" ht="18" x14ac:dyDescent="0.2">
      <c r="B17" s="46" t="s">
        <v>11</v>
      </c>
      <c r="C17" s="33">
        <f>Historicals!H18</f>
        <v>42.5</v>
      </c>
      <c r="D17" s="51">
        <f t="shared" ref="D17:I17" si="5">D14*D18</f>
        <v>71.973444000000001</v>
      </c>
      <c r="E17" s="51">
        <f t="shared" si="5"/>
        <v>87.463926959999995</v>
      </c>
      <c r="F17" s="51">
        <f t="shared" si="5"/>
        <v>126.692993448</v>
      </c>
      <c r="G17" s="51">
        <f t="shared" si="5"/>
        <v>154.57479981551998</v>
      </c>
      <c r="H17" s="51">
        <f t="shared" si="5"/>
        <v>185.14535183030875</v>
      </c>
      <c r="I17" s="51">
        <f t="shared" si="5"/>
        <v>218.63250531775194</v>
      </c>
      <c r="J17" s="26"/>
      <c r="K17" s="26"/>
      <c r="L17" s="53"/>
      <c r="M17" s="26"/>
      <c r="N17" s="26"/>
      <c r="O17" s="26"/>
      <c r="P17" s="26"/>
      <c r="Q17" s="26"/>
      <c r="R17" s="26"/>
    </row>
    <row r="18" spans="2:18" ht="18" x14ac:dyDescent="0.2">
      <c r="B18" s="38" t="s">
        <v>13</v>
      </c>
      <c r="C18" s="56">
        <f>C17/C14</f>
        <v>0.13244001246494236</v>
      </c>
      <c r="D18" s="40">
        <v>0.17</v>
      </c>
      <c r="E18" s="40">
        <v>0.17</v>
      </c>
      <c r="F18" s="40">
        <v>0.21</v>
      </c>
      <c r="G18" s="40">
        <v>0.21</v>
      </c>
      <c r="H18" s="40">
        <v>0.21</v>
      </c>
      <c r="I18" s="40">
        <v>0.21</v>
      </c>
      <c r="J18" s="26"/>
      <c r="K18" s="26" t="s">
        <v>84</v>
      </c>
      <c r="L18" s="53">
        <f>L14+L15</f>
        <v>20896.092282796249</v>
      </c>
      <c r="M18" s="351"/>
      <c r="N18" s="26"/>
      <c r="O18" s="26"/>
      <c r="P18" s="26"/>
      <c r="Q18" s="26"/>
      <c r="R18" s="26"/>
    </row>
    <row r="19" spans="2:18" ht="18" x14ac:dyDescent="0.2">
      <c r="B19" s="38"/>
      <c r="C19" s="40"/>
      <c r="D19" s="40"/>
      <c r="E19" s="40"/>
      <c r="F19" s="40"/>
      <c r="G19" s="40"/>
      <c r="H19" s="40"/>
      <c r="I19" s="40"/>
      <c r="J19" s="26"/>
      <c r="K19" s="26"/>
      <c r="L19" s="57"/>
      <c r="M19" s="26"/>
      <c r="N19" s="26"/>
      <c r="O19" s="26"/>
      <c r="P19" s="26"/>
      <c r="Q19" s="26"/>
      <c r="R19" s="26"/>
    </row>
    <row r="20" spans="2:18" ht="18" x14ac:dyDescent="0.2">
      <c r="B20" s="97" t="s">
        <v>88</v>
      </c>
      <c r="C20" s="103">
        <v>2024</v>
      </c>
      <c r="D20" s="99">
        <v>2025</v>
      </c>
      <c r="E20" s="99">
        <v>2026</v>
      </c>
      <c r="F20" s="99">
        <v>2027</v>
      </c>
      <c r="G20" s="99">
        <v>2028</v>
      </c>
      <c r="H20" s="99">
        <v>2029</v>
      </c>
      <c r="I20" s="99">
        <v>2030</v>
      </c>
      <c r="J20" s="26"/>
      <c r="K20" s="100" t="s">
        <v>89</v>
      </c>
      <c r="L20" s="102"/>
      <c r="M20" s="26"/>
      <c r="N20" s="26"/>
      <c r="O20" s="26"/>
      <c r="P20" s="26"/>
      <c r="Q20" s="26"/>
      <c r="R20" s="26"/>
    </row>
    <row r="21" spans="2:18" ht="18" x14ac:dyDescent="0.2">
      <c r="B21" s="27"/>
      <c r="C21" s="28"/>
      <c r="D21" s="27"/>
      <c r="E21" s="27"/>
      <c r="F21" s="27"/>
      <c r="G21" s="27"/>
      <c r="H21" s="27"/>
      <c r="I21" s="27"/>
      <c r="J21" s="26"/>
      <c r="K21" s="26" t="s">
        <v>84</v>
      </c>
      <c r="L21" s="53">
        <f>L18</f>
        <v>20896.092282796249</v>
      </c>
      <c r="M21" s="26"/>
      <c r="N21" s="26"/>
      <c r="O21" s="26"/>
      <c r="P21" s="26"/>
      <c r="Q21" s="26"/>
      <c r="R21" s="26"/>
    </row>
    <row r="22" spans="2:18" ht="18" x14ac:dyDescent="0.2">
      <c r="B22" s="46" t="s">
        <v>15</v>
      </c>
      <c r="C22" s="33">
        <f>C14-C17</f>
        <v>278.39999999999998</v>
      </c>
      <c r="D22" s="34">
        <f>D14-D17</f>
        <v>351.39975600000002</v>
      </c>
      <c r="E22" s="34">
        <f t="shared" ref="E22:I22" si="6">E14-E17</f>
        <v>427.02976103999993</v>
      </c>
      <c r="F22" s="34">
        <f t="shared" si="6"/>
        <v>476.60697535200001</v>
      </c>
      <c r="G22" s="34">
        <f t="shared" si="6"/>
        <v>581.49567549647986</v>
      </c>
      <c r="H22" s="34">
        <f t="shared" si="6"/>
        <v>696.49918069497107</v>
      </c>
      <c r="I22" s="34">
        <f t="shared" si="6"/>
        <v>822.47466286201927</v>
      </c>
      <c r="J22" s="26"/>
      <c r="K22" s="26" t="s">
        <v>90</v>
      </c>
      <c r="L22" s="58">
        <f>-(65+319)</f>
        <v>-384</v>
      </c>
      <c r="M22" s="26"/>
      <c r="N22" s="26"/>
      <c r="O22" s="26"/>
      <c r="P22" s="26"/>
      <c r="Q22" s="26"/>
      <c r="R22" s="26"/>
    </row>
    <row r="23" spans="2:18" ht="18" x14ac:dyDescent="0.2">
      <c r="B23" s="44"/>
      <c r="C23" s="28"/>
      <c r="D23" s="27"/>
      <c r="E23" s="27"/>
      <c r="F23" s="27"/>
      <c r="G23" s="27"/>
      <c r="H23" s="27"/>
      <c r="I23" s="27"/>
      <c r="J23" s="26"/>
      <c r="K23" s="26" t="s">
        <v>91</v>
      </c>
      <c r="L23" s="58">
        <v>0</v>
      </c>
      <c r="M23" s="26"/>
      <c r="N23" s="26"/>
      <c r="O23" s="26"/>
      <c r="P23" s="26"/>
      <c r="Q23" s="26"/>
      <c r="R23" s="26"/>
    </row>
    <row r="24" spans="2:18" ht="18" x14ac:dyDescent="0.2">
      <c r="B24" s="46" t="s">
        <v>16</v>
      </c>
      <c r="C24" s="33">
        <f>C11</f>
        <v>118.8</v>
      </c>
      <c r="D24" s="34">
        <f t="shared" ref="D24:I24" si="7">D11</f>
        <v>142.18199999999999</v>
      </c>
      <c r="E24" s="34">
        <f t="shared" si="7"/>
        <v>190.14472799999996</v>
      </c>
      <c r="F24" s="34">
        <f t="shared" si="7"/>
        <v>250.84190783999998</v>
      </c>
      <c r="G24" s="34">
        <f t="shared" si="7"/>
        <v>288.46819401599993</v>
      </c>
      <c r="H24" s="34">
        <f t="shared" si="7"/>
        <v>328.85374117823994</v>
      </c>
      <c r="I24" s="34">
        <f t="shared" si="7"/>
        <v>371.60472753141113</v>
      </c>
      <c r="J24" s="26"/>
      <c r="K24" s="26" t="s">
        <v>92</v>
      </c>
      <c r="L24" s="53">
        <v>1080.3</v>
      </c>
      <c r="M24" s="26"/>
      <c r="N24" s="26"/>
      <c r="O24" s="26"/>
      <c r="P24" s="26"/>
      <c r="Q24" s="26"/>
      <c r="R24" s="26"/>
    </row>
    <row r="25" spans="2:18" ht="18" x14ac:dyDescent="0.2">
      <c r="B25" s="38" t="s">
        <v>17</v>
      </c>
      <c r="C25" s="39">
        <f>C12</f>
        <v>4.5119635396885682E-2</v>
      </c>
      <c r="D25" s="40">
        <f t="shared" ref="D25:I25" si="8">D24/D5</f>
        <v>4.4999999999999998E-2</v>
      </c>
      <c r="E25" s="40">
        <f t="shared" si="8"/>
        <v>5.0999999999999997E-2</v>
      </c>
      <c r="F25" s="40">
        <f t="shared" si="8"/>
        <v>5.8000000000000003E-2</v>
      </c>
      <c r="G25" s="40">
        <f t="shared" si="8"/>
        <v>5.8000000000000003E-2</v>
      </c>
      <c r="H25" s="40">
        <f t="shared" si="8"/>
        <v>5.8000000000000003E-2</v>
      </c>
      <c r="I25" s="40">
        <f t="shared" si="8"/>
        <v>5.8000000000000003E-2</v>
      </c>
      <c r="J25" s="26"/>
      <c r="K25" s="26" t="s">
        <v>93</v>
      </c>
      <c r="L25" s="53">
        <f>SUM(L21:L24)</f>
        <v>21592.392282796249</v>
      </c>
      <c r="M25" s="26"/>
      <c r="N25" s="26"/>
      <c r="O25" s="26"/>
      <c r="P25" s="26"/>
      <c r="Q25" s="26"/>
      <c r="R25" s="26"/>
    </row>
    <row r="26" spans="2:18" ht="18" x14ac:dyDescent="0.2">
      <c r="B26" s="44"/>
      <c r="C26" s="28"/>
      <c r="D26" s="27"/>
      <c r="E26" s="27"/>
      <c r="F26" s="27"/>
      <c r="G26" s="27"/>
      <c r="H26" s="27"/>
      <c r="I26" s="27"/>
      <c r="J26" s="26"/>
      <c r="K26" s="26" t="s">
        <v>94</v>
      </c>
      <c r="L26" s="96">
        <v>289.3</v>
      </c>
      <c r="M26" s="26"/>
      <c r="N26" s="26"/>
      <c r="O26" s="26"/>
      <c r="P26" s="26"/>
      <c r="Q26" s="26"/>
      <c r="R26" s="26"/>
    </row>
    <row r="27" spans="2:18" ht="19" thickBot="1" x14ac:dyDescent="0.25">
      <c r="B27" s="46" t="s">
        <v>18</v>
      </c>
      <c r="C27" s="60">
        <f>Historicals!H26</f>
        <v>-68.7</v>
      </c>
      <c r="D27" s="61">
        <f>D5*D28</f>
        <v>-97.947599999999994</v>
      </c>
      <c r="E27" s="61">
        <f t="shared" ref="E27:I27" si="9">E5*E28</f>
        <v>-126.76315199999999</v>
      </c>
      <c r="F27" s="61">
        <f t="shared" si="9"/>
        <v>-160.01983775999997</v>
      </c>
      <c r="G27" s="61">
        <f t="shared" si="9"/>
        <v>-184.02281342399993</v>
      </c>
      <c r="H27" s="61">
        <f t="shared" si="9"/>
        <v>-209.78600730335995</v>
      </c>
      <c r="I27" s="61">
        <f t="shared" si="9"/>
        <v>-237.05818825279673</v>
      </c>
      <c r="J27" s="26"/>
      <c r="K27" s="134" t="s">
        <v>95</v>
      </c>
      <c r="L27" s="415">
        <f>L25/L26</f>
        <v>74.636682622869856</v>
      </c>
      <c r="M27" s="26"/>
      <c r="N27" s="26"/>
      <c r="O27" s="26"/>
      <c r="P27" s="26"/>
      <c r="Q27" s="26"/>
      <c r="R27" s="26"/>
    </row>
    <row r="28" spans="2:18" ht="19" thickTop="1" x14ac:dyDescent="0.2">
      <c r="B28" s="38" t="s">
        <v>19</v>
      </c>
      <c r="C28" s="39">
        <f>C27/C5</f>
        <v>-2.6091910368401066E-2</v>
      </c>
      <c r="D28" s="40">
        <v>-3.1E-2</v>
      </c>
      <c r="E28" s="40">
        <v>-3.4000000000000002E-2</v>
      </c>
      <c r="F28" s="40">
        <v>-3.6999999999999998E-2</v>
      </c>
      <c r="G28" s="40">
        <v>-3.6999999999999998E-2</v>
      </c>
      <c r="H28" s="40">
        <v>-3.6999999999999998E-2</v>
      </c>
      <c r="I28" s="40">
        <v>-3.6999999999999998E-2</v>
      </c>
      <c r="J28" s="26"/>
      <c r="K28" s="26"/>
      <c r="L28" s="29"/>
      <c r="M28" s="26"/>
      <c r="N28" s="26"/>
      <c r="O28" s="26"/>
      <c r="P28" s="26"/>
      <c r="Q28" s="26"/>
      <c r="R28" s="26"/>
    </row>
    <row r="29" spans="2:18" ht="18" x14ac:dyDescent="0.2">
      <c r="B29" s="44"/>
      <c r="C29" s="28"/>
      <c r="D29" s="27"/>
      <c r="E29" s="27"/>
      <c r="F29" s="27"/>
      <c r="G29" s="27"/>
      <c r="H29" s="27"/>
      <c r="I29" s="27"/>
      <c r="J29" s="26"/>
      <c r="K29" s="26"/>
      <c r="L29" s="35"/>
      <c r="M29" s="26"/>
      <c r="N29" s="26"/>
      <c r="O29" s="26"/>
      <c r="P29" s="26"/>
      <c r="Q29" s="26"/>
      <c r="R29" s="26"/>
    </row>
    <row r="30" spans="2:18" ht="19" thickBot="1" x14ac:dyDescent="0.25">
      <c r="B30" s="46" t="s">
        <v>96</v>
      </c>
      <c r="C30" s="60">
        <f>Historicals!H29</f>
        <v>161.1</v>
      </c>
      <c r="D30" s="61">
        <f t="shared" ref="D30:I30" si="10">D31*D5</f>
        <v>94.787999999999997</v>
      </c>
      <c r="E30" s="61">
        <f t="shared" si="10"/>
        <v>111.84983999999999</v>
      </c>
      <c r="F30" s="61">
        <f t="shared" si="10"/>
        <v>86.497209599999991</v>
      </c>
      <c r="G30" s="61">
        <f t="shared" si="10"/>
        <v>99.471791039999971</v>
      </c>
      <c r="H30" s="61">
        <f t="shared" si="10"/>
        <v>113.39784178559998</v>
      </c>
      <c r="I30" s="61">
        <f t="shared" si="10"/>
        <v>128.13956121772796</v>
      </c>
      <c r="J30" s="26"/>
      <c r="K30" s="26"/>
      <c r="L30" s="73"/>
      <c r="M30" s="26"/>
      <c r="N30" s="26"/>
      <c r="O30" s="26"/>
      <c r="P30" s="26"/>
      <c r="Q30" s="26"/>
      <c r="R30" s="26"/>
    </row>
    <row r="31" spans="2:18" ht="18" x14ac:dyDescent="0.2">
      <c r="B31" s="38" t="s">
        <v>22</v>
      </c>
      <c r="C31" s="39">
        <f>C30/C5</f>
        <v>6.1184960121534369E-2</v>
      </c>
      <c r="D31" s="40">
        <v>0.03</v>
      </c>
      <c r="E31" s="40">
        <v>0.03</v>
      </c>
      <c r="F31" s="40">
        <v>0.02</v>
      </c>
      <c r="G31" s="40">
        <v>0.02</v>
      </c>
      <c r="H31" s="40">
        <v>0.02</v>
      </c>
      <c r="I31" s="40">
        <v>0.02</v>
      </c>
      <c r="J31" s="26"/>
      <c r="K31" s="473" t="s">
        <v>97</v>
      </c>
      <c r="L31" s="474"/>
      <c r="M31" s="474" t="s">
        <v>98</v>
      </c>
      <c r="N31" s="474"/>
      <c r="O31" s="474"/>
      <c r="P31" s="474"/>
      <c r="Q31" s="475"/>
      <c r="R31" s="351"/>
    </row>
    <row r="32" spans="2:18" ht="18" x14ac:dyDescent="0.2">
      <c r="B32" s="44"/>
      <c r="C32" s="28"/>
      <c r="D32" s="27"/>
      <c r="E32" s="27"/>
      <c r="F32" s="27"/>
      <c r="G32" s="27"/>
      <c r="H32" s="27"/>
      <c r="I32" s="27"/>
      <c r="J32" s="26"/>
      <c r="K32" s="62"/>
      <c r="L32" s="76">
        <f>L27</f>
        <v>74.636682622869856</v>
      </c>
      <c r="M32" s="77">
        <v>3</v>
      </c>
      <c r="N32" s="77">
        <v>5</v>
      </c>
      <c r="O32" s="78">
        <v>8</v>
      </c>
      <c r="P32" s="77">
        <v>10</v>
      </c>
      <c r="Q32" s="79">
        <v>12</v>
      </c>
      <c r="R32" s="26"/>
    </row>
    <row r="33" spans="2:18" ht="18" x14ac:dyDescent="0.2">
      <c r="B33" s="46" t="s">
        <v>99</v>
      </c>
      <c r="C33" s="63">
        <f>C22+C24+C27+C30</f>
        <v>489.6</v>
      </c>
      <c r="D33" s="64">
        <f>D22+D24+D27+D30</f>
        <v>490.42215600000009</v>
      </c>
      <c r="E33" s="64">
        <f t="shared" ref="E33:I33" si="11">E22+E24+E27+E30</f>
        <v>602.26117703999989</v>
      </c>
      <c r="F33" s="64">
        <f t="shared" si="11"/>
        <v>653.92625503200009</v>
      </c>
      <c r="G33" s="64">
        <f t="shared" si="11"/>
        <v>785.41284712847983</v>
      </c>
      <c r="H33" s="64">
        <f t="shared" si="11"/>
        <v>928.96475635545107</v>
      </c>
      <c r="I33" s="64">
        <f t="shared" si="11"/>
        <v>1085.1607633583617</v>
      </c>
      <c r="J33" s="26"/>
      <c r="K33" s="476" t="s">
        <v>72</v>
      </c>
      <c r="L33" s="80">
        <v>9.8000000000000004E-2</v>
      </c>
      <c r="M33" s="81">
        <f t="dataTable" ref="M33:Q37" dt2D="1" dtr="1" r1="L8" r2="C39" ca="1"/>
        <v>109.45452936656737</v>
      </c>
      <c r="N33" s="82">
        <v>111.43373661854719</v>
      </c>
      <c r="O33" s="82">
        <v>114.40254749651685</v>
      </c>
      <c r="P33" s="82">
        <v>116.38175474849663</v>
      </c>
      <c r="Q33" s="83">
        <v>118.36096200047642</v>
      </c>
      <c r="R33" s="26"/>
    </row>
    <row r="34" spans="2:18" ht="18" x14ac:dyDescent="0.2">
      <c r="B34" s="27"/>
      <c r="C34" s="27"/>
      <c r="D34" s="27"/>
      <c r="E34" s="27"/>
      <c r="F34" s="27"/>
      <c r="G34" s="27"/>
      <c r="H34" s="27"/>
      <c r="I34" s="27"/>
      <c r="J34" s="26"/>
      <c r="K34" s="476"/>
      <c r="L34" s="80">
        <v>0.10299999999999999</v>
      </c>
      <c r="M34" s="84">
        <v>93.6885494285562</v>
      </c>
      <c r="N34" s="81">
        <v>95.356971178982093</v>
      </c>
      <c r="O34" s="82">
        <v>97.859603804620903</v>
      </c>
      <c r="P34" s="85">
        <v>99.528025555046767</v>
      </c>
      <c r="Q34" s="86">
        <v>101.19644730547265</v>
      </c>
      <c r="R34" s="26"/>
    </row>
    <row r="35" spans="2:18" ht="18" x14ac:dyDescent="0.2">
      <c r="B35" s="97" t="s">
        <v>100</v>
      </c>
      <c r="C35" s="103">
        <v>2024</v>
      </c>
      <c r="D35" s="99">
        <v>2025</v>
      </c>
      <c r="E35" s="99">
        <v>2026</v>
      </c>
      <c r="F35" s="99">
        <v>2027</v>
      </c>
      <c r="G35" s="99">
        <v>2028</v>
      </c>
      <c r="H35" s="99">
        <v>2029</v>
      </c>
      <c r="I35" s="99">
        <v>2030</v>
      </c>
      <c r="J35" s="26"/>
      <c r="K35" s="476"/>
      <c r="L35" s="80">
        <v>0.108</v>
      </c>
      <c r="M35" s="84">
        <v>81.880488873246307</v>
      </c>
      <c r="N35" s="84">
        <v>83.316605768988197</v>
      </c>
      <c r="O35" s="87">
        <v>85.470781112600989</v>
      </c>
      <c r="P35" s="88">
        <v>86.90689800834285</v>
      </c>
      <c r="Q35" s="86">
        <v>88.34301490408474</v>
      </c>
      <c r="R35" s="26"/>
    </row>
    <row r="36" spans="2:18" ht="18" x14ac:dyDescent="0.2">
      <c r="B36" s="27"/>
      <c r="C36" s="28"/>
      <c r="D36" s="27"/>
      <c r="E36" s="27"/>
      <c r="F36" s="27"/>
      <c r="G36" s="27"/>
      <c r="H36" s="27"/>
      <c r="I36" s="27"/>
      <c r="J36" s="26"/>
      <c r="K36" s="476"/>
      <c r="L36" s="80">
        <v>0.113</v>
      </c>
      <c r="M36" s="84">
        <v>72.706385303134127</v>
      </c>
      <c r="N36" s="89">
        <v>73.962414120639167</v>
      </c>
      <c r="O36" s="90">
        <v>75.846457346896699</v>
      </c>
      <c r="P36" s="91">
        <v>77.102486164401725</v>
      </c>
      <c r="Q36" s="86">
        <v>78.358514981906751</v>
      </c>
      <c r="R36" s="26"/>
    </row>
    <row r="37" spans="2:18" ht="19" thickBot="1" x14ac:dyDescent="0.25">
      <c r="B37" s="32" t="s">
        <v>101</v>
      </c>
      <c r="C37" s="65">
        <v>0.5</v>
      </c>
      <c r="D37" s="66">
        <v>1</v>
      </c>
      <c r="E37" s="66">
        <v>1.5</v>
      </c>
      <c r="F37" s="66">
        <v>2</v>
      </c>
      <c r="G37" s="66">
        <v>2.5</v>
      </c>
      <c r="H37" s="66">
        <v>3</v>
      </c>
      <c r="I37" s="66">
        <v>3.5</v>
      </c>
      <c r="J37" s="26"/>
      <c r="K37" s="477"/>
      <c r="L37" s="92">
        <v>0.11799999999999999</v>
      </c>
      <c r="M37" s="93">
        <v>65.373559182632022</v>
      </c>
      <c r="N37" s="94">
        <v>66.485992369873614</v>
      </c>
      <c r="O37" s="94">
        <v>68.154642150735995</v>
      </c>
      <c r="P37" s="94">
        <v>69.267075337977573</v>
      </c>
      <c r="Q37" s="95">
        <v>70.379508525219165</v>
      </c>
      <c r="R37" s="26"/>
    </row>
    <row r="38" spans="2:18" ht="18" x14ac:dyDescent="0.2">
      <c r="B38" s="27"/>
      <c r="C38" s="28"/>
      <c r="D38" s="27"/>
      <c r="E38" s="27"/>
      <c r="F38" s="27"/>
      <c r="G38" s="27"/>
      <c r="H38" s="27"/>
      <c r="I38" s="27"/>
      <c r="J38" s="26"/>
      <c r="K38" s="26"/>
      <c r="L38" s="53"/>
      <c r="M38" s="26"/>
      <c r="N38" s="26"/>
      <c r="O38" s="26"/>
      <c r="P38" s="26"/>
      <c r="Q38" s="26"/>
      <c r="R38" s="26"/>
    </row>
    <row r="39" spans="2:18" ht="18" x14ac:dyDescent="0.2">
      <c r="B39" s="32" t="s">
        <v>72</v>
      </c>
      <c r="C39" s="67">
        <v>0.108</v>
      </c>
      <c r="D39" s="68">
        <f t="shared" ref="D39:G39" si="12">C39</f>
        <v>0.108</v>
      </c>
      <c r="E39" s="68">
        <f t="shared" si="12"/>
        <v>0.108</v>
      </c>
      <c r="F39" s="68">
        <f t="shared" si="12"/>
        <v>0.108</v>
      </c>
      <c r="G39" s="68">
        <f t="shared" si="12"/>
        <v>0.108</v>
      </c>
      <c r="H39" s="68">
        <f>G39</f>
        <v>0.108</v>
      </c>
      <c r="I39" s="68">
        <f>H39</f>
        <v>0.108</v>
      </c>
      <c r="K39"/>
      <c r="L39"/>
      <c r="M39"/>
      <c r="N39"/>
      <c r="O39"/>
      <c r="P39"/>
      <c r="Q39"/>
      <c r="R39" s="26"/>
    </row>
    <row r="40" spans="2:18" ht="18" x14ac:dyDescent="0.2">
      <c r="B40" s="27"/>
      <c r="C40" s="28"/>
      <c r="D40" s="27"/>
      <c r="E40" s="27"/>
      <c r="F40" s="27"/>
      <c r="G40" s="27"/>
      <c r="H40" s="27"/>
      <c r="I40" s="27"/>
      <c r="K40"/>
      <c r="L40"/>
      <c r="M40"/>
      <c r="N40"/>
      <c r="O40"/>
      <c r="P40"/>
      <c r="Q40"/>
      <c r="R40" s="26"/>
    </row>
    <row r="41" spans="2:18" ht="18" x14ac:dyDescent="0.2">
      <c r="B41" s="32" t="s">
        <v>102</v>
      </c>
      <c r="C41" s="69">
        <f>(1/((1+$J$38)^C37))</f>
        <v>1</v>
      </c>
      <c r="D41" s="70">
        <f>(1/((1+$C$39)^D37))</f>
        <v>0.90252707581227432</v>
      </c>
      <c r="E41" s="70">
        <f t="shared" ref="E41:I41" si="13">(1/((1+$C$39)^E37))</f>
        <v>0.8574135833218709</v>
      </c>
      <c r="F41" s="70">
        <f t="shared" si="13"/>
        <v>0.81455512257425466</v>
      </c>
      <c r="G41" s="70">
        <f t="shared" si="13"/>
        <v>0.77383897411721181</v>
      </c>
      <c r="H41" s="70">
        <f t="shared" si="13"/>
        <v>0.7351580528648507</v>
      </c>
      <c r="I41" s="70">
        <f t="shared" si="13"/>
        <v>0.69841062645957752</v>
      </c>
      <c r="K41"/>
      <c r="L41"/>
      <c r="M41"/>
      <c r="N41"/>
      <c r="O41"/>
      <c r="P41"/>
      <c r="Q41"/>
      <c r="R41" s="26"/>
    </row>
    <row r="42" spans="2:18" ht="18" x14ac:dyDescent="0.2">
      <c r="B42" s="27"/>
      <c r="C42" s="28"/>
      <c r="D42" s="27"/>
      <c r="E42" s="27"/>
      <c r="F42" s="27"/>
      <c r="G42" s="27"/>
      <c r="H42" s="27"/>
      <c r="I42" s="27"/>
      <c r="K42"/>
      <c r="L42"/>
      <c r="M42"/>
      <c r="N42"/>
      <c r="O42"/>
      <c r="P42"/>
      <c r="Q42"/>
      <c r="R42" s="26"/>
    </row>
    <row r="43" spans="2:18" ht="18" x14ac:dyDescent="0.2">
      <c r="B43" s="32" t="s">
        <v>103</v>
      </c>
      <c r="C43" s="71">
        <f>C33*C41</f>
        <v>489.6</v>
      </c>
      <c r="D43" s="72">
        <f>D33*D41</f>
        <v>442.61927436823112</v>
      </c>
      <c r="E43" s="72">
        <f t="shared" ref="E43:I43" si="14">E33*E41</f>
        <v>516.38691390151394</v>
      </c>
      <c r="F43" s="72">
        <f t="shared" si="14"/>
        <v>532.65898082211413</v>
      </c>
      <c r="G43" s="72">
        <f t="shared" si="14"/>
        <v>607.78307188038139</v>
      </c>
      <c r="H43" s="72">
        <f t="shared" si="14"/>
        <v>682.9359214623438</v>
      </c>
      <c r="I43" s="72">
        <f t="shared" si="14"/>
        <v>757.88780854646677</v>
      </c>
      <c r="K43"/>
      <c r="L43"/>
      <c r="M43"/>
      <c r="N43"/>
      <c r="O43"/>
      <c r="P43"/>
      <c r="Q43"/>
      <c r="R43" s="26"/>
    </row>
    <row r="44" spans="2:18" ht="18" x14ac:dyDescent="0.2">
      <c r="B44" s="26"/>
      <c r="C44" s="26"/>
      <c r="D44" s="26"/>
      <c r="E44" s="26"/>
      <c r="F44" s="26"/>
      <c r="G44" s="26"/>
      <c r="H44" s="26"/>
      <c r="I44" s="26"/>
      <c r="K44"/>
      <c r="L44"/>
      <c r="M44"/>
      <c r="N44"/>
      <c r="O44"/>
      <c r="P44"/>
      <c r="Q44"/>
      <c r="R44" s="26"/>
    </row>
    <row r="45" spans="2:18" x14ac:dyDescent="0.2">
      <c r="K45"/>
      <c r="L45"/>
      <c r="M45"/>
      <c r="N45"/>
      <c r="O45"/>
      <c r="P45"/>
      <c r="Q45"/>
    </row>
    <row r="46" spans="2:18" x14ac:dyDescent="0.2">
      <c r="K46"/>
      <c r="L46"/>
      <c r="M46"/>
      <c r="N46"/>
      <c r="O46"/>
      <c r="P46"/>
      <c r="Q46"/>
    </row>
    <row r="47" spans="2:18" x14ac:dyDescent="0.2">
      <c r="K47"/>
      <c r="L47"/>
      <c r="M47"/>
      <c r="N47"/>
      <c r="O47"/>
      <c r="P47"/>
      <c r="Q47"/>
    </row>
    <row r="48" spans="2:18" x14ac:dyDescent="0.2">
      <c r="K48"/>
      <c r="L48"/>
      <c r="M48"/>
      <c r="N48"/>
      <c r="O48"/>
      <c r="P48"/>
      <c r="Q48"/>
    </row>
    <row r="49" spans="11:17" x14ac:dyDescent="0.2">
      <c r="K49"/>
      <c r="L49"/>
      <c r="M49"/>
      <c r="N49"/>
      <c r="O49"/>
      <c r="P49"/>
      <c r="Q49"/>
    </row>
  </sheetData>
  <mergeCells count="5">
    <mergeCell ref="B1:V1"/>
    <mergeCell ref="K3:L3"/>
    <mergeCell ref="K31:L31"/>
    <mergeCell ref="M31:Q31"/>
    <mergeCell ref="K33:K37"/>
  </mergeCells>
  <conditionalFormatting sqref="M33:Q37">
    <cfRule type="colorScale" priority="3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9DC9-B2BA-423E-B6FB-481689F9C00B}">
  <sheetPr>
    <tabColor rgb="FF002060"/>
    <pageSetUpPr autoPageBreaks="0"/>
  </sheetPr>
  <dimension ref="B1:V43"/>
  <sheetViews>
    <sheetView showGridLines="0" zoomScale="69" zoomScaleNormal="69" workbookViewId="0">
      <selection activeCell="C6" sqref="C6"/>
    </sheetView>
  </sheetViews>
  <sheetFormatPr baseColWidth="10" defaultColWidth="8.6640625" defaultRowHeight="15" x14ac:dyDescent="0.2"/>
  <cols>
    <col min="1" max="1" width="8.6640625" style="25"/>
    <col min="2" max="2" width="44" style="25" customWidth="1"/>
    <col min="3" max="10" width="16.6640625" style="25" customWidth="1"/>
    <col min="11" max="11" width="36.1640625" style="25" customWidth="1"/>
    <col min="12" max="12" width="14.6640625" style="25" customWidth="1"/>
    <col min="13" max="22" width="16.6640625" style="25" customWidth="1"/>
    <col min="23" max="16384" width="8.6640625" style="25"/>
  </cols>
  <sheetData>
    <row r="1" spans="2:22" ht="45" x14ac:dyDescent="0.45">
      <c r="B1" s="460" t="s">
        <v>104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</row>
    <row r="3" spans="2:22" ht="19" x14ac:dyDescent="0.25">
      <c r="B3" s="130" t="s">
        <v>68</v>
      </c>
      <c r="C3" s="131">
        <v>2024</v>
      </c>
      <c r="D3" s="132">
        <v>2025</v>
      </c>
      <c r="E3" s="132">
        <v>2026</v>
      </c>
      <c r="F3" s="132">
        <v>2027</v>
      </c>
      <c r="G3" s="132">
        <v>2028</v>
      </c>
      <c r="H3" s="132">
        <v>2029</v>
      </c>
      <c r="I3" s="132">
        <v>2030</v>
      </c>
      <c r="J3" s="105"/>
      <c r="K3" s="465" t="s">
        <v>105</v>
      </c>
      <c r="L3" s="465"/>
      <c r="M3" s="105"/>
      <c r="N3" s="466"/>
      <c r="O3" s="466"/>
      <c r="P3" s="105"/>
      <c r="Q3" s="105"/>
      <c r="R3" s="105"/>
      <c r="S3" s="105"/>
      <c r="T3" s="105"/>
    </row>
    <row r="4" spans="2:22" ht="19" x14ac:dyDescent="0.25">
      <c r="B4" s="27"/>
      <c r="C4" s="28" t="s">
        <v>71</v>
      </c>
      <c r="D4" s="27"/>
      <c r="E4" s="27"/>
      <c r="F4" s="27"/>
      <c r="G4" s="27"/>
      <c r="H4" s="27"/>
      <c r="I4" s="27"/>
      <c r="J4" s="105"/>
      <c r="K4" s="26" t="s">
        <v>72</v>
      </c>
      <c r="L4" s="29">
        <f>C39</f>
        <v>0.108</v>
      </c>
      <c r="M4" s="105"/>
      <c r="N4" s="105"/>
      <c r="O4" s="105"/>
      <c r="P4" s="105"/>
      <c r="Q4" s="105"/>
      <c r="R4" s="105"/>
      <c r="S4" s="105"/>
      <c r="T4" s="105"/>
    </row>
    <row r="5" spans="2:22" ht="19" x14ac:dyDescent="0.25">
      <c r="B5" s="32" t="s">
        <v>1</v>
      </c>
      <c r="C5" s="33">
        <f>Historicals!H6</f>
        <v>2633</v>
      </c>
      <c r="D5" s="34">
        <f t="shared" ref="D5:I5" si="0">C5*(1+D6)</f>
        <v>3370.2400000000002</v>
      </c>
      <c r="E5" s="34">
        <f t="shared" si="0"/>
        <v>4212.8</v>
      </c>
      <c r="F5" s="34">
        <f t="shared" si="0"/>
        <v>5181.7440000000006</v>
      </c>
      <c r="G5" s="34">
        <f t="shared" si="0"/>
        <v>6269.9102400000002</v>
      </c>
      <c r="H5" s="34">
        <f t="shared" si="0"/>
        <v>7461.1931856000001</v>
      </c>
      <c r="I5" s="34">
        <f t="shared" si="0"/>
        <v>8505.7602315840013</v>
      </c>
      <c r="J5" s="105"/>
      <c r="K5" s="26" t="s">
        <v>111</v>
      </c>
      <c r="L5" s="106">
        <f>I14</f>
        <v>1382.1505027434723</v>
      </c>
      <c r="M5" s="352"/>
      <c r="O5" s="105"/>
      <c r="P5" s="105"/>
      <c r="Q5" s="105"/>
      <c r="R5" s="105"/>
      <c r="S5" s="105"/>
      <c r="T5" s="105"/>
    </row>
    <row r="6" spans="2:22" ht="19" x14ac:dyDescent="0.25">
      <c r="B6" s="38" t="s">
        <v>3</v>
      </c>
      <c r="C6" s="39">
        <f>Historicals!H7</f>
        <v>0.31946880481082429</v>
      </c>
      <c r="D6" s="40">
        <v>0.28000000000000003</v>
      </c>
      <c r="E6" s="40">
        <f>D6-3%</f>
        <v>0.25</v>
      </c>
      <c r="F6" s="40">
        <f>E6-2%</f>
        <v>0.23</v>
      </c>
      <c r="G6" s="40">
        <f>F6-2%</f>
        <v>0.21000000000000002</v>
      </c>
      <c r="H6" s="40">
        <f>G6-2%</f>
        <v>0.19000000000000003</v>
      </c>
      <c r="I6" s="40">
        <f>H6-5%</f>
        <v>0.14000000000000001</v>
      </c>
      <c r="J6" s="105"/>
      <c r="K6" s="26" t="s">
        <v>112</v>
      </c>
      <c r="L6" s="73">
        <f>'Multiples Valuations'!K31</f>
        <v>21.35</v>
      </c>
      <c r="M6" s="105"/>
      <c r="N6" s="409"/>
      <c r="O6" s="105"/>
      <c r="P6" s="105"/>
      <c r="Q6" s="105"/>
      <c r="R6" s="105"/>
      <c r="S6" s="105"/>
      <c r="T6" s="105"/>
    </row>
    <row r="7" spans="2:22" ht="19" x14ac:dyDescent="0.25">
      <c r="B7" s="44"/>
      <c r="C7" s="28"/>
      <c r="D7" s="27"/>
      <c r="E7" s="27"/>
      <c r="F7" s="27"/>
      <c r="G7" s="27"/>
      <c r="H7" s="27"/>
      <c r="I7" s="27"/>
      <c r="J7" s="105"/>
      <c r="K7" s="26" t="s">
        <v>82</v>
      </c>
      <c r="L7" s="106">
        <f>L5*L6</f>
        <v>29508.913233573137</v>
      </c>
      <c r="M7" s="105"/>
      <c r="N7" s="105"/>
      <c r="O7" s="105"/>
      <c r="P7" s="105"/>
      <c r="Q7" s="105"/>
      <c r="R7" s="105"/>
      <c r="S7" s="105"/>
      <c r="T7" s="105"/>
    </row>
    <row r="8" spans="2:22" ht="19" x14ac:dyDescent="0.25">
      <c r="B8" s="46" t="s">
        <v>4</v>
      </c>
      <c r="C8" s="33">
        <f>Historicals!H9</f>
        <v>439.7</v>
      </c>
      <c r="D8" s="34">
        <f t="shared" ref="D8:I8" si="1">D9*D5</f>
        <v>603.25887999999998</v>
      </c>
      <c r="E8" s="34">
        <f t="shared" si="1"/>
        <v>796.20159999999998</v>
      </c>
      <c r="F8" s="34">
        <f t="shared" si="1"/>
        <v>1023.3727920000001</v>
      </c>
      <c r="G8" s="34">
        <f t="shared" si="1"/>
        <v>1291.5753153600001</v>
      </c>
      <c r="H8" s="34">
        <f t="shared" si="1"/>
        <v>1592.9335741704001</v>
      </c>
      <c r="I8" s="34">
        <f t="shared" si="1"/>
        <v>1875.4845961753444</v>
      </c>
      <c r="J8" s="105"/>
      <c r="K8" s="26" t="s">
        <v>83</v>
      </c>
      <c r="L8" s="50">
        <f>I41</f>
        <v>0.69841062645957752</v>
      </c>
      <c r="M8" s="105"/>
      <c r="N8" s="105"/>
      <c r="O8" s="105"/>
      <c r="P8" s="105"/>
      <c r="Q8" s="105"/>
      <c r="R8" s="105"/>
      <c r="S8" s="105"/>
      <c r="T8" s="105"/>
    </row>
    <row r="9" spans="2:22" ht="19" x14ac:dyDescent="0.25">
      <c r="B9" s="38" t="s">
        <v>6</v>
      </c>
      <c r="C9" s="39">
        <f>C8/C5</f>
        <v>0.16699582225598175</v>
      </c>
      <c r="D9" s="40">
        <f>C9+0.012</f>
        <v>0.17899582225598176</v>
      </c>
      <c r="E9" s="40">
        <f>D9+0.01</f>
        <v>0.18899582225598177</v>
      </c>
      <c r="F9" s="40">
        <f>E9+0.0085</f>
        <v>0.19749582225598178</v>
      </c>
      <c r="G9" s="40">
        <f>F9+0.0085</f>
        <v>0.20599582225598179</v>
      </c>
      <c r="H9" s="40">
        <f>G9+0.0075</f>
        <v>0.21349582225598179</v>
      </c>
      <c r="I9" s="40">
        <f>H9+0.007</f>
        <v>0.2204958222559818</v>
      </c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</row>
    <row r="10" spans="2:22" ht="19" x14ac:dyDescent="0.25">
      <c r="B10" s="44"/>
      <c r="C10" s="28"/>
      <c r="D10" s="27"/>
      <c r="E10" s="27"/>
      <c r="F10" s="27"/>
      <c r="G10" s="27"/>
      <c r="H10" s="27"/>
      <c r="I10" s="27"/>
      <c r="J10" s="105"/>
      <c r="K10" s="134" t="s">
        <v>108</v>
      </c>
      <c r="L10" s="135"/>
      <c r="M10" s="105"/>
      <c r="N10" s="105"/>
      <c r="O10" s="105"/>
      <c r="P10" s="105"/>
      <c r="Q10" s="105"/>
      <c r="R10" s="105"/>
      <c r="S10" s="105"/>
      <c r="T10" s="105"/>
    </row>
    <row r="11" spans="2:22" ht="19" x14ac:dyDescent="0.25">
      <c r="B11" s="46" t="s">
        <v>7</v>
      </c>
      <c r="C11" s="33">
        <f>Historicals!H12</f>
        <v>118.8</v>
      </c>
      <c r="D11" s="34">
        <f t="shared" ref="D11:I11" si="2">D12*D5</f>
        <v>151.66079999999999</v>
      </c>
      <c r="E11" s="34">
        <f t="shared" si="2"/>
        <v>244.34240000000003</v>
      </c>
      <c r="F11" s="34">
        <f t="shared" si="2"/>
        <v>300.54115200000007</v>
      </c>
      <c r="G11" s="34">
        <f t="shared" si="2"/>
        <v>363.65479392000003</v>
      </c>
      <c r="H11" s="34">
        <f t="shared" si="2"/>
        <v>432.74920476480003</v>
      </c>
      <c r="I11" s="34">
        <f t="shared" si="2"/>
        <v>493.33409343187208</v>
      </c>
      <c r="J11" s="105"/>
      <c r="K11" s="26" t="s">
        <v>85</v>
      </c>
      <c r="L11" s="107">
        <f>SUM(D43:I43)</f>
        <v>4614.0198573252692</v>
      </c>
      <c r="M11" s="105"/>
      <c r="N11" s="26"/>
      <c r="O11" s="50"/>
      <c r="P11" s="105"/>
      <c r="Q11" s="105"/>
      <c r="R11" s="105"/>
      <c r="S11" s="105"/>
      <c r="T11" s="105"/>
    </row>
    <row r="12" spans="2:22" ht="19" x14ac:dyDescent="0.25">
      <c r="B12" s="38" t="s">
        <v>17</v>
      </c>
      <c r="C12" s="39">
        <f>C11/C5</f>
        <v>4.5119635396885682E-2</v>
      </c>
      <c r="D12" s="40">
        <v>4.4999999999999998E-2</v>
      </c>
      <c r="E12" s="40">
        <v>5.8000000000000003E-2</v>
      </c>
      <c r="F12" s="40">
        <v>5.8000000000000003E-2</v>
      </c>
      <c r="G12" s="40">
        <v>5.8000000000000003E-2</v>
      </c>
      <c r="H12" s="40">
        <v>5.8000000000000003E-2</v>
      </c>
      <c r="I12" s="40">
        <v>5.8000000000000003E-2</v>
      </c>
      <c r="J12" s="105"/>
      <c r="K12" s="26" t="s">
        <v>86</v>
      </c>
      <c r="L12" s="53">
        <f>L7*L8</f>
        <v>20609.338577601131</v>
      </c>
      <c r="M12" s="105"/>
      <c r="N12" s="105"/>
      <c r="O12" s="105"/>
      <c r="P12" s="105"/>
      <c r="Q12" s="105"/>
      <c r="R12" s="105"/>
      <c r="S12" s="105"/>
      <c r="T12" s="105"/>
    </row>
    <row r="13" spans="2:22" ht="19" x14ac:dyDescent="0.25">
      <c r="B13" s="44"/>
      <c r="C13" s="28"/>
      <c r="D13" s="27"/>
      <c r="E13" s="27"/>
      <c r="F13" s="27"/>
      <c r="G13" s="27"/>
      <c r="H13" s="27"/>
      <c r="I13" s="27"/>
      <c r="J13" s="105"/>
      <c r="K13" s="54" t="s">
        <v>87</v>
      </c>
      <c r="L13" s="55">
        <f>L12/L15</f>
        <v>0.81707353248660552</v>
      </c>
      <c r="M13" s="105"/>
      <c r="N13" s="108"/>
      <c r="O13" s="109"/>
      <c r="P13" s="105"/>
      <c r="Q13" s="105"/>
      <c r="R13" s="105"/>
      <c r="S13" s="105"/>
      <c r="T13" s="105"/>
    </row>
    <row r="14" spans="2:22" ht="19" x14ac:dyDescent="0.25">
      <c r="B14" s="46" t="s">
        <v>9</v>
      </c>
      <c r="C14" s="33">
        <f t="shared" ref="C14:I14" si="3">C8-C11</f>
        <v>320.89999999999998</v>
      </c>
      <c r="D14" s="51">
        <f t="shared" si="3"/>
        <v>451.59807999999998</v>
      </c>
      <c r="E14" s="51">
        <f t="shared" si="3"/>
        <v>551.85919999999999</v>
      </c>
      <c r="F14" s="51">
        <f t="shared" si="3"/>
        <v>722.83164000000011</v>
      </c>
      <c r="G14" s="51">
        <f t="shared" si="3"/>
        <v>927.92052144000013</v>
      </c>
      <c r="H14" s="51">
        <f t="shared" si="3"/>
        <v>1160.1843694056001</v>
      </c>
      <c r="I14" s="51">
        <f t="shared" si="3"/>
        <v>1382.1505027434723</v>
      </c>
      <c r="J14" s="105"/>
      <c r="K14" s="26"/>
      <c r="L14" s="53"/>
      <c r="M14" s="105"/>
      <c r="N14" s="26"/>
      <c r="O14" s="110"/>
      <c r="P14" s="105"/>
      <c r="Q14" s="105"/>
      <c r="R14" s="467"/>
      <c r="S14" s="467"/>
      <c r="T14" s="105"/>
    </row>
    <row r="15" spans="2:22" ht="19" x14ac:dyDescent="0.25">
      <c r="B15" s="38" t="s">
        <v>10</v>
      </c>
      <c r="C15" s="39">
        <f t="shared" ref="C15:I15" si="4">C14/C5</f>
        <v>0.12187618685909608</v>
      </c>
      <c r="D15" s="40">
        <f t="shared" si="4"/>
        <v>0.13399582225598175</v>
      </c>
      <c r="E15" s="40">
        <f t="shared" si="4"/>
        <v>0.13099582225598175</v>
      </c>
      <c r="F15" s="40">
        <f t="shared" si="4"/>
        <v>0.13949582225598178</v>
      </c>
      <c r="G15" s="40">
        <f t="shared" si="4"/>
        <v>0.14799582225598179</v>
      </c>
      <c r="H15" s="40">
        <f t="shared" si="4"/>
        <v>0.1554958222559818</v>
      </c>
      <c r="I15" s="40">
        <f t="shared" si="4"/>
        <v>0.16249582225598178</v>
      </c>
      <c r="J15" s="105"/>
      <c r="K15" s="26" t="s">
        <v>84</v>
      </c>
      <c r="L15" s="53">
        <f>L11+L12</f>
        <v>25223.358434926398</v>
      </c>
      <c r="M15" s="105"/>
      <c r="N15" s="26"/>
      <c r="O15" s="53"/>
      <c r="P15" s="105"/>
      <c r="Q15" s="105"/>
      <c r="R15" s="27"/>
      <c r="S15" s="111"/>
      <c r="T15" s="105"/>
    </row>
    <row r="16" spans="2:22" ht="19" x14ac:dyDescent="0.25">
      <c r="B16" s="44"/>
      <c r="C16" s="28"/>
      <c r="D16" s="27"/>
      <c r="E16" s="27"/>
      <c r="F16" s="27"/>
      <c r="G16" s="27"/>
      <c r="H16" s="27"/>
      <c r="I16" s="27"/>
      <c r="J16" s="105"/>
      <c r="K16" s="26"/>
      <c r="L16" s="57"/>
      <c r="M16" s="105"/>
      <c r="N16" s="54"/>
      <c r="O16" s="55"/>
      <c r="P16" s="105"/>
      <c r="Q16" s="105"/>
      <c r="R16" s="27"/>
      <c r="S16" s="111"/>
      <c r="T16" s="105"/>
    </row>
    <row r="17" spans="2:20" ht="19" x14ac:dyDescent="0.25">
      <c r="B17" s="46" t="s">
        <v>11</v>
      </c>
      <c r="C17" s="33">
        <f>Historicals!H18</f>
        <v>42.5</v>
      </c>
      <c r="D17" s="51">
        <f t="shared" ref="D17:I17" si="5">D14*D18</f>
        <v>76.7716736</v>
      </c>
      <c r="E17" s="51">
        <f t="shared" si="5"/>
        <v>93.816064000000011</v>
      </c>
      <c r="F17" s="51">
        <f t="shared" si="5"/>
        <v>151.79464440000001</v>
      </c>
      <c r="G17" s="51">
        <f t="shared" si="5"/>
        <v>194.86330950240003</v>
      </c>
      <c r="H17" s="51">
        <f t="shared" si="5"/>
        <v>243.63871757517603</v>
      </c>
      <c r="I17" s="51">
        <f t="shared" si="5"/>
        <v>290.25160557612918</v>
      </c>
      <c r="J17" s="105"/>
      <c r="K17" s="134" t="s">
        <v>89</v>
      </c>
      <c r="L17" s="136"/>
      <c r="M17" s="105"/>
      <c r="N17" s="26"/>
      <c r="O17" s="53"/>
      <c r="P17" s="105"/>
      <c r="Q17" s="105"/>
      <c r="R17" s="26"/>
      <c r="S17" s="112"/>
      <c r="T17" s="105"/>
    </row>
    <row r="18" spans="2:20" ht="19" x14ac:dyDescent="0.25">
      <c r="B18" s="38" t="s">
        <v>13</v>
      </c>
      <c r="C18" s="56">
        <f>C17/C14</f>
        <v>0.13244001246494236</v>
      </c>
      <c r="D18" s="40">
        <v>0.17</v>
      </c>
      <c r="E18" s="40">
        <v>0.17</v>
      </c>
      <c r="F18" s="40">
        <v>0.21</v>
      </c>
      <c r="G18" s="40">
        <v>0.21</v>
      </c>
      <c r="H18" s="40">
        <v>0.21</v>
      </c>
      <c r="I18" s="40">
        <v>0.21</v>
      </c>
      <c r="J18" s="105"/>
      <c r="K18" s="26" t="s">
        <v>84</v>
      </c>
      <c r="L18" s="53">
        <f>L15</f>
        <v>25223.358434926398</v>
      </c>
      <c r="M18" s="105"/>
      <c r="N18" s="26"/>
      <c r="O18" s="53"/>
      <c r="P18" s="105"/>
      <c r="Q18" s="105"/>
      <c r="R18" s="26"/>
      <c r="S18" s="111"/>
      <c r="T18" s="105"/>
    </row>
    <row r="19" spans="2:20" ht="19" x14ac:dyDescent="0.25">
      <c r="B19" s="38"/>
      <c r="C19" s="40"/>
      <c r="D19" s="40"/>
      <c r="E19" s="40"/>
      <c r="F19" s="40"/>
      <c r="G19" s="40"/>
      <c r="H19" s="40"/>
      <c r="I19" s="40"/>
      <c r="J19" s="105"/>
      <c r="K19" s="26" t="s">
        <v>90</v>
      </c>
      <c r="L19" s="58">
        <v>-349</v>
      </c>
      <c r="M19" s="105"/>
      <c r="N19" s="26"/>
      <c r="O19" s="57"/>
      <c r="P19" s="105"/>
      <c r="Q19" s="105"/>
      <c r="R19" s="26"/>
      <c r="S19" s="113"/>
      <c r="T19" s="105"/>
    </row>
    <row r="20" spans="2:20" ht="19" x14ac:dyDescent="0.25">
      <c r="B20" s="130" t="s">
        <v>88</v>
      </c>
      <c r="C20" s="103">
        <v>2024</v>
      </c>
      <c r="D20" s="132">
        <v>2025</v>
      </c>
      <c r="E20" s="132">
        <v>2026</v>
      </c>
      <c r="F20" s="132">
        <v>2027</v>
      </c>
      <c r="G20" s="132">
        <v>2028</v>
      </c>
      <c r="H20" s="132">
        <v>2029</v>
      </c>
      <c r="I20" s="132">
        <v>2030</v>
      </c>
      <c r="J20" s="105"/>
      <c r="K20" s="26" t="s">
        <v>91</v>
      </c>
      <c r="L20" s="58">
        <v>0</v>
      </c>
      <c r="M20" s="105"/>
      <c r="N20" s="108"/>
      <c r="O20" s="114"/>
      <c r="P20" s="105"/>
      <c r="Q20" s="105"/>
      <c r="R20" s="105"/>
      <c r="S20" s="105"/>
      <c r="T20" s="105"/>
    </row>
    <row r="21" spans="2:20" ht="19" x14ac:dyDescent="0.25">
      <c r="B21" s="27"/>
      <c r="C21" s="28"/>
      <c r="D21" s="27"/>
      <c r="E21" s="27"/>
      <c r="F21" s="27"/>
      <c r="G21" s="27"/>
      <c r="H21" s="27"/>
      <c r="I21" s="27"/>
      <c r="J21" s="105"/>
      <c r="K21" s="26" t="s">
        <v>92</v>
      </c>
      <c r="L21" s="53">
        <v>1080</v>
      </c>
      <c r="M21" s="105"/>
      <c r="N21" s="26"/>
      <c r="O21" s="53"/>
      <c r="P21" s="105"/>
      <c r="Q21" s="105"/>
      <c r="R21" s="105"/>
      <c r="S21" s="105"/>
      <c r="T21" s="105"/>
    </row>
    <row r="22" spans="2:20" ht="19" x14ac:dyDescent="0.25">
      <c r="B22" s="46" t="s">
        <v>15</v>
      </c>
      <c r="C22" s="33">
        <f t="shared" ref="C22:I22" si="6">C14-C17</f>
        <v>278.39999999999998</v>
      </c>
      <c r="D22" s="34">
        <f t="shared" si="6"/>
        <v>374.8264064</v>
      </c>
      <c r="E22" s="34">
        <f t="shared" si="6"/>
        <v>458.043136</v>
      </c>
      <c r="F22" s="34">
        <f t="shared" si="6"/>
        <v>571.03699560000007</v>
      </c>
      <c r="G22" s="34">
        <f t="shared" si="6"/>
        <v>733.05721193760007</v>
      </c>
      <c r="H22" s="34">
        <f t="shared" si="6"/>
        <v>916.54565183042405</v>
      </c>
      <c r="I22" s="34">
        <f t="shared" si="6"/>
        <v>1091.8988971673432</v>
      </c>
      <c r="J22" s="105"/>
      <c r="K22" s="26" t="s">
        <v>93</v>
      </c>
      <c r="L22" s="53">
        <f>SUM(L18:L21)</f>
        <v>25954.358434926398</v>
      </c>
      <c r="M22" s="105"/>
      <c r="N22" s="26"/>
      <c r="O22" s="58"/>
      <c r="P22" s="105"/>
      <c r="Q22" s="105"/>
      <c r="R22" s="105"/>
      <c r="S22" s="105"/>
      <c r="T22" s="105"/>
    </row>
    <row r="23" spans="2:20" ht="19" x14ac:dyDescent="0.25">
      <c r="B23" s="44"/>
      <c r="C23" s="28"/>
      <c r="D23" s="27"/>
      <c r="E23" s="27"/>
      <c r="F23" s="27"/>
      <c r="G23" s="27"/>
      <c r="H23" s="27"/>
      <c r="I23" s="27"/>
      <c r="J23" s="105"/>
      <c r="K23" s="26" t="s">
        <v>94</v>
      </c>
      <c r="L23" s="431">
        <v>289.3</v>
      </c>
      <c r="M23" s="105" t="s">
        <v>109</v>
      </c>
      <c r="N23" s="26"/>
      <c r="O23" s="58"/>
      <c r="P23" s="105"/>
      <c r="Q23" s="105"/>
      <c r="R23" s="105"/>
      <c r="S23" s="105"/>
      <c r="T23" s="105"/>
    </row>
    <row r="24" spans="2:20" ht="20" thickBot="1" x14ac:dyDescent="0.3">
      <c r="B24" s="46" t="s">
        <v>16</v>
      </c>
      <c r="C24" s="33">
        <f t="shared" ref="C24:I24" si="7">C11</f>
        <v>118.8</v>
      </c>
      <c r="D24" s="34">
        <f t="shared" si="7"/>
        <v>151.66079999999999</v>
      </c>
      <c r="E24" s="34">
        <f t="shared" si="7"/>
        <v>244.34240000000003</v>
      </c>
      <c r="F24" s="34">
        <f t="shared" si="7"/>
        <v>300.54115200000007</v>
      </c>
      <c r="G24" s="34">
        <f t="shared" si="7"/>
        <v>363.65479392000003</v>
      </c>
      <c r="H24" s="34">
        <f t="shared" si="7"/>
        <v>432.74920476480003</v>
      </c>
      <c r="I24" s="34">
        <f t="shared" si="7"/>
        <v>493.33409343187208</v>
      </c>
      <c r="J24" s="105"/>
      <c r="K24" s="134" t="s">
        <v>95</v>
      </c>
      <c r="L24" s="415">
        <f>L22/L23</f>
        <v>89.714339560754922</v>
      </c>
      <c r="M24" s="105"/>
      <c r="N24" s="26"/>
      <c r="O24" s="53"/>
      <c r="P24" s="105"/>
      <c r="Q24" s="105"/>
      <c r="R24" s="105"/>
      <c r="S24" s="105"/>
      <c r="T24" s="105"/>
    </row>
    <row r="25" spans="2:20" ht="20" thickTop="1" x14ac:dyDescent="0.25">
      <c r="B25" s="38" t="s">
        <v>17</v>
      </c>
      <c r="C25" s="39">
        <f>C12</f>
        <v>4.5119635396885682E-2</v>
      </c>
      <c r="D25" s="40">
        <v>4.4999999999999998E-2</v>
      </c>
      <c r="E25" s="40">
        <v>5.0999999999999997E-2</v>
      </c>
      <c r="F25" s="40">
        <v>5.8000000000000003E-2</v>
      </c>
      <c r="G25" s="40">
        <v>5.8000000000000003E-2</v>
      </c>
      <c r="H25" s="40">
        <v>5.8000000000000003E-2</v>
      </c>
      <c r="I25" s="40">
        <v>5.8000000000000003E-2</v>
      </c>
      <c r="J25" s="105"/>
      <c r="K25" s="105"/>
      <c r="L25" s="105"/>
      <c r="M25" s="105"/>
      <c r="N25" s="26"/>
      <c r="O25" s="53"/>
      <c r="P25" s="105"/>
      <c r="Q25" s="105"/>
      <c r="R25" s="105"/>
      <c r="S25" s="105"/>
      <c r="T25" s="105"/>
    </row>
    <row r="26" spans="2:20" ht="20" thickBot="1" x14ac:dyDescent="0.3">
      <c r="B26" s="44"/>
      <c r="C26" s="28"/>
      <c r="D26" s="27"/>
      <c r="E26" s="27"/>
      <c r="F26" s="27"/>
      <c r="G26" s="27"/>
      <c r="H26" s="27"/>
      <c r="I26" s="27"/>
      <c r="J26" s="105"/>
      <c r="K26" s="105"/>
      <c r="L26" s="105"/>
      <c r="M26" s="105"/>
      <c r="N26" s="26"/>
      <c r="O26" s="59"/>
      <c r="P26" s="105"/>
      <c r="Q26" s="105"/>
      <c r="R26" s="105"/>
      <c r="S26" s="105"/>
      <c r="T26" s="105"/>
    </row>
    <row r="27" spans="2:20" ht="20" thickBot="1" x14ac:dyDescent="0.3">
      <c r="B27" s="46" t="s">
        <v>18</v>
      </c>
      <c r="C27" s="60">
        <f>Historicals!H26</f>
        <v>-68.7</v>
      </c>
      <c r="D27" s="61">
        <f t="shared" ref="D27:I27" si="8">D5*D28</f>
        <v>-104.47744</v>
      </c>
      <c r="E27" s="61">
        <f t="shared" si="8"/>
        <v>-143.23520000000002</v>
      </c>
      <c r="F27" s="61">
        <f t="shared" si="8"/>
        <v>-191.72452800000002</v>
      </c>
      <c r="G27" s="61">
        <f t="shared" si="8"/>
        <v>-231.98667888</v>
      </c>
      <c r="H27" s="61">
        <f t="shared" si="8"/>
        <v>-276.06414786720001</v>
      </c>
      <c r="I27" s="61">
        <f t="shared" si="8"/>
        <v>-314.71312856860806</v>
      </c>
      <c r="J27" s="105"/>
      <c r="K27" s="468" t="s">
        <v>97</v>
      </c>
      <c r="L27" s="469"/>
      <c r="M27" s="470" t="s">
        <v>110</v>
      </c>
      <c r="N27" s="470"/>
      <c r="O27" s="470"/>
      <c r="P27" s="470"/>
      <c r="Q27" s="471"/>
      <c r="R27" s="351"/>
      <c r="S27" s="105"/>
      <c r="T27" s="105"/>
    </row>
    <row r="28" spans="2:20" ht="19" x14ac:dyDescent="0.25">
      <c r="B28" s="38" t="s">
        <v>19</v>
      </c>
      <c r="C28" s="39">
        <f>C27/C5</f>
        <v>-2.6091910368401066E-2</v>
      </c>
      <c r="D28" s="40">
        <v>-3.1E-2</v>
      </c>
      <c r="E28" s="40">
        <v>-3.4000000000000002E-2</v>
      </c>
      <c r="F28" s="40">
        <v>-3.6999999999999998E-2</v>
      </c>
      <c r="G28" s="40">
        <v>-3.6999999999999998E-2</v>
      </c>
      <c r="H28" s="40">
        <v>-3.6999999999999998E-2</v>
      </c>
      <c r="I28" s="40">
        <v>-3.6999999999999998E-2</v>
      </c>
      <c r="J28" s="105"/>
      <c r="K28" s="115"/>
      <c r="L28" s="116">
        <f>L24</f>
        <v>89.714339560754922</v>
      </c>
      <c r="M28" s="73">
        <v>18</v>
      </c>
      <c r="N28" s="73">
        <v>20</v>
      </c>
      <c r="O28" s="73">
        <v>21.35</v>
      </c>
      <c r="P28" s="73">
        <v>23</v>
      </c>
      <c r="Q28" s="117">
        <v>24</v>
      </c>
      <c r="R28" s="105"/>
      <c r="S28" s="105"/>
      <c r="T28" s="105"/>
    </row>
    <row r="29" spans="2:20" ht="19" x14ac:dyDescent="0.25">
      <c r="B29" s="44"/>
      <c r="C29" s="28"/>
      <c r="D29" s="27"/>
      <c r="E29" s="27"/>
      <c r="F29" s="27"/>
      <c r="G29" s="27"/>
      <c r="H29" s="27"/>
      <c r="I29" s="27"/>
      <c r="J29" s="105"/>
      <c r="K29" s="463" t="s">
        <v>72</v>
      </c>
      <c r="L29" s="118">
        <v>9.8000000000000004E-2</v>
      </c>
      <c r="M29" s="119">
        <f t="dataTable" ref="M29:Q33" dt2D="1" dtr="1" r1="L6" r2="C39"/>
        <v>80.832518652972709</v>
      </c>
      <c r="N29" s="120">
        <v>87.721082811367125</v>
      </c>
      <c r="O29" s="120">
        <v>92.370863618283366</v>
      </c>
      <c r="P29" s="120">
        <v>98.05392904895875</v>
      </c>
      <c r="Q29" s="121">
        <v>101.49821112815596</v>
      </c>
      <c r="R29" s="105"/>
      <c r="S29" s="105"/>
      <c r="T29" s="105"/>
    </row>
    <row r="30" spans="2:20" ht="19" x14ac:dyDescent="0.25">
      <c r="B30" s="46" t="s">
        <v>96</v>
      </c>
      <c r="C30" s="60">
        <f>Historicals!H29</f>
        <v>161.1</v>
      </c>
      <c r="D30" s="61">
        <f t="shared" ref="D30:I30" si="9">D31*D5</f>
        <v>134.80960000000002</v>
      </c>
      <c r="E30" s="61">
        <f t="shared" si="9"/>
        <v>147.44800000000001</v>
      </c>
      <c r="F30" s="61">
        <f t="shared" si="9"/>
        <v>181.36104000000003</v>
      </c>
      <c r="G30" s="61">
        <f t="shared" si="9"/>
        <v>188.09730719999999</v>
      </c>
      <c r="H30" s="61">
        <f t="shared" si="9"/>
        <v>223.83579556800001</v>
      </c>
      <c r="I30" s="61">
        <f t="shared" si="9"/>
        <v>212.64400578960004</v>
      </c>
      <c r="J30" s="105"/>
      <c r="K30" s="463"/>
      <c r="L30" s="118">
        <v>0.10299999999999999</v>
      </c>
      <c r="M30" s="122">
        <v>79.673049616011568</v>
      </c>
      <c r="N30" s="123">
        <v>86.452938941576974</v>
      </c>
      <c r="O30" s="123">
        <v>91.02936423633362</v>
      </c>
      <c r="P30" s="123">
        <v>96.622772929925048</v>
      </c>
      <c r="Q30" s="124">
        <v>100.01271759270774</v>
      </c>
      <c r="R30" s="105"/>
      <c r="S30" s="105"/>
      <c r="T30" s="105"/>
    </row>
    <row r="31" spans="2:20" ht="19" x14ac:dyDescent="0.25">
      <c r="B31" s="38" t="s">
        <v>22</v>
      </c>
      <c r="C31" s="39">
        <f>C30/C5</f>
        <v>6.1184960121534369E-2</v>
      </c>
      <c r="D31" s="40">
        <v>0.04</v>
      </c>
      <c r="E31" s="40">
        <v>3.5000000000000003E-2</v>
      </c>
      <c r="F31" s="40">
        <v>3.5000000000000003E-2</v>
      </c>
      <c r="G31" s="40">
        <v>0.03</v>
      </c>
      <c r="H31" s="40">
        <v>0.03</v>
      </c>
      <c r="I31" s="40">
        <v>2.5000000000000001E-2</v>
      </c>
      <c r="J31" s="105"/>
      <c r="K31" s="463"/>
      <c r="L31" s="118">
        <v>0.108</v>
      </c>
      <c r="M31" s="122">
        <v>78.536379640546372</v>
      </c>
      <c r="N31" s="123">
        <v>85.20978854813356</v>
      </c>
      <c r="O31" s="125">
        <v>89.714339560754922</v>
      </c>
      <c r="P31" s="123">
        <v>95.219901909514363</v>
      </c>
      <c r="Q31" s="124">
        <v>98.556606363307949</v>
      </c>
      <c r="R31" s="105"/>
      <c r="S31" s="105"/>
      <c r="T31" s="105"/>
    </row>
    <row r="32" spans="2:20" ht="19" x14ac:dyDescent="0.25">
      <c r="B32" s="44"/>
      <c r="C32" s="28"/>
      <c r="D32" s="27"/>
      <c r="E32" s="27"/>
      <c r="F32" s="27"/>
      <c r="G32" s="27"/>
      <c r="H32" s="27"/>
      <c r="I32" s="27"/>
      <c r="J32" s="105"/>
      <c r="K32" s="463"/>
      <c r="L32" s="118">
        <v>0.113</v>
      </c>
      <c r="M32" s="122">
        <v>77.42195689156658</v>
      </c>
      <c r="N32" s="123">
        <v>83.991025880674812</v>
      </c>
      <c r="O32" s="123">
        <v>88.425147448322875</v>
      </c>
      <c r="P32" s="123">
        <v>93.844629364337152</v>
      </c>
      <c r="Q32" s="124">
        <v>97.129163858891275</v>
      </c>
      <c r="R32" s="105"/>
      <c r="S32" s="105"/>
      <c r="T32" s="105"/>
    </row>
    <row r="33" spans="2:20" ht="20" thickBot="1" x14ac:dyDescent="0.3">
      <c r="B33" s="46" t="s">
        <v>99</v>
      </c>
      <c r="C33" s="63">
        <f t="shared" ref="C33:I33" si="10">C22+C24+C27+C30</f>
        <v>489.6</v>
      </c>
      <c r="D33" s="64">
        <f t="shared" si="10"/>
        <v>556.81936640000004</v>
      </c>
      <c r="E33" s="64">
        <f t="shared" si="10"/>
        <v>706.5983359999999</v>
      </c>
      <c r="F33" s="64">
        <f t="shared" si="10"/>
        <v>861.21465960000023</v>
      </c>
      <c r="G33" s="64">
        <f t="shared" si="10"/>
        <v>1052.8226341776001</v>
      </c>
      <c r="H33" s="64">
        <f t="shared" si="10"/>
        <v>1297.066504296024</v>
      </c>
      <c r="I33" s="64">
        <f t="shared" si="10"/>
        <v>1483.1638678202073</v>
      </c>
      <c r="J33" s="105"/>
      <c r="K33" s="464"/>
      <c r="L33" s="126">
        <v>0.11799999999999999</v>
      </c>
      <c r="M33" s="127">
        <v>76.329245331564067</v>
      </c>
      <c r="N33" s="128">
        <v>82.796062544885714</v>
      </c>
      <c r="O33" s="128">
        <v>87.161164163877842</v>
      </c>
      <c r="P33" s="128">
        <v>92.496288364868192</v>
      </c>
      <c r="Q33" s="129">
        <v>95.729696971529023</v>
      </c>
      <c r="R33" s="105"/>
      <c r="S33" s="105"/>
      <c r="T33" s="105"/>
    </row>
    <row r="34" spans="2:20" ht="19" x14ac:dyDescent="0.25">
      <c r="B34" s="27"/>
      <c r="C34" s="27"/>
      <c r="D34" s="27"/>
      <c r="E34" s="27"/>
      <c r="F34" s="27"/>
      <c r="G34" s="27"/>
      <c r="H34" s="27"/>
      <c r="I34" s="27"/>
      <c r="J34" s="105"/>
      <c r="K34" s="108"/>
      <c r="L34" s="109"/>
      <c r="M34" s="105"/>
      <c r="N34" s="105"/>
      <c r="O34" s="105"/>
      <c r="P34" s="105"/>
      <c r="Q34" s="105"/>
      <c r="R34" s="105"/>
      <c r="S34" s="105"/>
      <c r="T34" s="105"/>
    </row>
    <row r="35" spans="2:20" ht="19" x14ac:dyDescent="0.25">
      <c r="B35" s="130" t="s">
        <v>100</v>
      </c>
      <c r="C35" s="103">
        <v>2024</v>
      </c>
      <c r="D35" s="132">
        <v>2025</v>
      </c>
      <c r="E35" s="132">
        <v>2026</v>
      </c>
      <c r="F35" s="132">
        <v>2027</v>
      </c>
      <c r="G35" s="132">
        <v>2028</v>
      </c>
      <c r="H35" s="132">
        <v>2029</v>
      </c>
      <c r="I35" s="132">
        <v>2030</v>
      </c>
      <c r="J35" s="105"/>
      <c r="K35" s="26"/>
      <c r="L35" s="107"/>
      <c r="M35" s="105"/>
      <c r="N35" s="105"/>
      <c r="O35" s="105"/>
      <c r="P35" s="105"/>
      <c r="Q35" s="105"/>
      <c r="R35" s="105"/>
      <c r="S35" s="105"/>
      <c r="T35" s="105"/>
    </row>
    <row r="36" spans="2:20" ht="19" x14ac:dyDescent="0.25">
      <c r="B36" s="27"/>
      <c r="C36" s="28"/>
      <c r="D36" s="27"/>
      <c r="E36" s="27"/>
      <c r="F36" s="27"/>
      <c r="G36" s="27"/>
      <c r="H36" s="27"/>
      <c r="I36" s="27"/>
      <c r="J36" s="105"/>
      <c r="K36" s="26"/>
      <c r="L36" s="53"/>
      <c r="M36" s="105"/>
      <c r="N36" s="105"/>
      <c r="O36" s="105"/>
      <c r="P36" s="105"/>
      <c r="Q36" s="105"/>
      <c r="R36" s="105"/>
      <c r="S36" s="105"/>
      <c r="T36" s="105"/>
    </row>
    <row r="37" spans="2:20" ht="19" x14ac:dyDescent="0.25">
      <c r="B37" s="32" t="s">
        <v>101</v>
      </c>
      <c r="C37" s="65">
        <v>0.5</v>
      </c>
      <c r="D37" s="66">
        <v>1</v>
      </c>
      <c r="E37" s="66">
        <v>1.5</v>
      </c>
      <c r="F37" s="66">
        <v>2</v>
      </c>
      <c r="G37" s="66">
        <v>2.5</v>
      </c>
      <c r="H37" s="66">
        <v>3</v>
      </c>
      <c r="I37" s="66">
        <v>3.5</v>
      </c>
      <c r="J37" s="105"/>
      <c r="K37" s="54"/>
      <c r="L37" s="55"/>
      <c r="M37" s="105"/>
      <c r="N37" s="105"/>
      <c r="O37" s="105"/>
      <c r="P37" s="105"/>
      <c r="Q37" s="105"/>
      <c r="R37" s="105"/>
      <c r="S37" s="105"/>
      <c r="T37" s="105"/>
    </row>
    <row r="38" spans="2:20" ht="19" x14ac:dyDescent="0.25">
      <c r="B38" s="27"/>
      <c r="C38" s="28"/>
      <c r="D38" s="27"/>
      <c r="E38" s="27"/>
      <c r="F38" s="27"/>
      <c r="G38" s="27"/>
      <c r="H38" s="27"/>
      <c r="I38" s="27"/>
      <c r="J38" s="105"/>
      <c r="K38" s="26"/>
      <c r="L38" s="53"/>
      <c r="M38" s="105"/>
      <c r="N38" s="105"/>
      <c r="O38" s="105"/>
      <c r="P38" s="105"/>
      <c r="Q38" s="105"/>
      <c r="R38" s="105"/>
      <c r="S38" s="105"/>
      <c r="T38" s="105"/>
    </row>
    <row r="39" spans="2:20" ht="19" x14ac:dyDescent="0.25">
      <c r="B39" s="32" t="s">
        <v>72</v>
      </c>
      <c r="C39" s="67">
        <v>0.108</v>
      </c>
      <c r="D39" s="68">
        <f t="shared" ref="D39:I39" si="11">C39</f>
        <v>0.108</v>
      </c>
      <c r="E39" s="68">
        <f t="shared" si="11"/>
        <v>0.108</v>
      </c>
      <c r="F39" s="68">
        <f t="shared" si="11"/>
        <v>0.108</v>
      </c>
      <c r="G39" s="68">
        <f t="shared" si="11"/>
        <v>0.108</v>
      </c>
      <c r="H39" s="68">
        <f t="shared" si="11"/>
        <v>0.108</v>
      </c>
      <c r="I39" s="68">
        <f t="shared" si="11"/>
        <v>0.108</v>
      </c>
      <c r="J39" s="105"/>
      <c r="L39" s="53"/>
      <c r="M39" s="105"/>
      <c r="N39" s="105"/>
      <c r="O39" s="105"/>
      <c r="P39" s="105"/>
      <c r="Q39" s="105"/>
      <c r="R39" s="105"/>
      <c r="S39" s="105"/>
      <c r="T39" s="105"/>
    </row>
    <row r="40" spans="2:20" ht="19" x14ac:dyDescent="0.25">
      <c r="B40" s="27"/>
      <c r="C40" s="28"/>
      <c r="D40" s="27"/>
      <c r="E40" s="27"/>
      <c r="F40" s="27"/>
      <c r="G40" s="27"/>
      <c r="H40" s="27"/>
      <c r="I40" s="27"/>
      <c r="J40" s="105"/>
      <c r="K40" s="26"/>
      <c r="L40" s="57"/>
      <c r="M40" s="105"/>
      <c r="N40" s="105"/>
      <c r="O40" s="105"/>
      <c r="P40" s="105"/>
      <c r="Q40" s="105"/>
      <c r="R40" s="105"/>
      <c r="S40" s="105"/>
      <c r="T40" s="105"/>
    </row>
    <row r="41" spans="2:20" ht="19" x14ac:dyDescent="0.25">
      <c r="B41" s="32" t="s">
        <v>102</v>
      </c>
      <c r="C41" s="69">
        <f>(1/((1+$J$38)^C37))</f>
        <v>1</v>
      </c>
      <c r="D41" s="70">
        <f t="shared" ref="D41:I41" si="12">(1/((1+$C$39)^D37))</f>
        <v>0.90252707581227432</v>
      </c>
      <c r="E41" s="70">
        <f t="shared" si="12"/>
        <v>0.8574135833218709</v>
      </c>
      <c r="F41" s="70">
        <f t="shared" si="12"/>
        <v>0.81455512257425466</v>
      </c>
      <c r="G41" s="70">
        <f t="shared" si="12"/>
        <v>0.77383897411721181</v>
      </c>
      <c r="H41" s="70">
        <f t="shared" si="12"/>
        <v>0.7351580528648507</v>
      </c>
      <c r="I41" s="70">
        <f t="shared" si="12"/>
        <v>0.69841062645957752</v>
      </c>
      <c r="J41" s="105"/>
      <c r="K41" s="108"/>
      <c r="L41" s="114"/>
      <c r="M41" s="105"/>
      <c r="N41" s="105"/>
      <c r="O41" s="105"/>
      <c r="P41" s="105"/>
      <c r="Q41" s="105"/>
      <c r="R41" s="105"/>
      <c r="S41" s="105"/>
      <c r="T41" s="105"/>
    </row>
    <row r="42" spans="2:20" ht="19" x14ac:dyDescent="0.25">
      <c r="B42" s="27"/>
      <c r="C42" s="28"/>
      <c r="D42" s="27"/>
      <c r="E42" s="27"/>
      <c r="F42" s="27"/>
      <c r="G42" s="27"/>
      <c r="H42" s="27"/>
      <c r="I42" s="27"/>
      <c r="J42" s="105"/>
      <c r="K42" s="26"/>
      <c r="L42" s="53"/>
      <c r="M42" s="105"/>
      <c r="N42" s="105"/>
      <c r="O42" s="105"/>
      <c r="P42" s="105"/>
      <c r="Q42" s="105"/>
      <c r="R42" s="105"/>
      <c r="S42" s="105"/>
      <c r="T42" s="105"/>
    </row>
    <row r="43" spans="2:20" ht="19" x14ac:dyDescent="0.25">
      <c r="B43" s="32" t="s">
        <v>103</v>
      </c>
      <c r="C43" s="71">
        <f t="shared" ref="C43:I43" si="13">C33*C41</f>
        <v>489.6</v>
      </c>
      <c r="D43" s="72">
        <f t="shared" si="13"/>
        <v>502.54455451263539</v>
      </c>
      <c r="E43" s="72">
        <f t="shared" si="13"/>
        <v>605.84701123903119</v>
      </c>
      <c r="F43" s="72">
        <f t="shared" si="13"/>
        <v>701.50681261322325</v>
      </c>
      <c r="G43" s="72">
        <f t="shared" si="13"/>
        <v>814.71518715937464</v>
      </c>
      <c r="H43" s="72">
        <f t="shared" si="13"/>
        <v>953.54888573448352</v>
      </c>
      <c r="I43" s="72">
        <f t="shared" si="13"/>
        <v>1035.857406066521</v>
      </c>
      <c r="J43" s="105"/>
      <c r="K43" s="26"/>
      <c r="L43" s="58"/>
      <c r="M43" s="105"/>
      <c r="N43" s="105"/>
      <c r="O43" s="105"/>
      <c r="P43" s="105"/>
      <c r="Q43" s="105"/>
      <c r="R43" s="105"/>
      <c r="S43" s="105"/>
      <c r="T43" s="105"/>
    </row>
  </sheetData>
  <mergeCells count="7">
    <mergeCell ref="K29:K33"/>
    <mergeCell ref="B1:V1"/>
    <mergeCell ref="K3:L3"/>
    <mergeCell ref="N3:O3"/>
    <mergeCell ref="R14:S14"/>
    <mergeCell ref="K27:L27"/>
    <mergeCell ref="M27:Q27"/>
  </mergeCells>
  <conditionalFormatting sqref="M29:Q3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EE502-05FD-44C8-BBA4-0A18C38F26F8}">
  <sheetPr>
    <tabColor rgb="FF00B0F0"/>
  </sheetPr>
  <dimension ref="B1:BH61"/>
  <sheetViews>
    <sheetView zoomScale="120" zoomScaleNormal="120" workbookViewId="0">
      <selection activeCell="R38" sqref="R38"/>
    </sheetView>
  </sheetViews>
  <sheetFormatPr baseColWidth="10" defaultColWidth="10" defaultRowHeight="14" x14ac:dyDescent="0.15"/>
  <cols>
    <col min="1" max="1" width="10" style="140"/>
    <col min="2" max="2" width="21.83203125" style="140" customWidth="1"/>
    <col min="3" max="3" width="13.1640625" style="140" customWidth="1"/>
    <col min="4" max="4" width="8.5" style="140" customWidth="1"/>
    <col min="5" max="5" width="21.83203125" style="140" customWidth="1"/>
    <col min="6" max="6" width="13.1640625" style="140" customWidth="1"/>
    <col min="7" max="7" width="8.5" style="140" customWidth="1"/>
    <col min="8" max="8" width="21.83203125" style="140" customWidth="1"/>
    <col min="9" max="9" width="13.1640625" style="140" customWidth="1"/>
    <col min="10" max="10" width="8.5" style="140" customWidth="1"/>
    <col min="11" max="11" width="21.83203125" style="140" customWidth="1"/>
    <col min="12" max="12" width="13.1640625" style="140" customWidth="1"/>
    <col min="13" max="13" width="8.5" style="140" customWidth="1"/>
    <col min="14" max="14" width="21.83203125" style="140" customWidth="1"/>
    <col min="15" max="15" width="13.33203125" style="140" customWidth="1"/>
    <col min="16" max="16" width="8.5" style="140" customWidth="1"/>
    <col min="17" max="17" width="21.83203125" style="140" customWidth="1"/>
    <col min="18" max="18" width="13.1640625" style="140" customWidth="1"/>
    <col min="19" max="19" width="8.5" style="140" customWidth="1"/>
    <col min="20" max="20" width="21.83203125" style="140" customWidth="1"/>
    <col min="21" max="21" width="13.1640625" style="140" customWidth="1"/>
    <col min="22" max="22" width="8.5" style="140" customWidth="1"/>
    <col min="23" max="23" width="21.83203125" style="140" customWidth="1"/>
    <col min="24" max="24" width="13.1640625" style="140" customWidth="1"/>
    <col min="25" max="25" width="8.5" style="140" customWidth="1"/>
    <col min="26" max="26" width="21.83203125" style="140" customWidth="1"/>
    <col min="27" max="27" width="13.1640625" style="140" customWidth="1"/>
    <col min="28" max="28" width="8.5" style="140" customWidth="1"/>
    <col min="29" max="29" width="21.83203125" style="140" customWidth="1"/>
    <col min="30" max="30" width="13.1640625" style="140" customWidth="1"/>
    <col min="31" max="31" width="8.5" style="140" customWidth="1"/>
    <col min="32" max="32" width="21.83203125" style="140" customWidth="1"/>
    <col min="33" max="33" width="13.1640625" style="140" customWidth="1"/>
    <col min="34" max="34" width="8.5" style="140" customWidth="1"/>
    <col min="35" max="35" width="21.83203125" style="140" customWidth="1"/>
    <col min="36" max="36" width="13.1640625" style="140" customWidth="1"/>
    <col min="37" max="37" width="8.5" style="140" customWidth="1"/>
    <col min="38" max="38" width="21.83203125" style="140" customWidth="1"/>
    <col min="39" max="39" width="13.1640625" style="140" customWidth="1"/>
    <col min="40" max="40" width="8.5" style="140" customWidth="1"/>
    <col min="41" max="41" width="21.83203125" style="140" customWidth="1"/>
    <col min="42" max="42" width="13.1640625" style="140" customWidth="1"/>
    <col min="43" max="43" width="8.5" style="140" customWidth="1"/>
    <col min="44" max="44" width="21.83203125" style="140" customWidth="1"/>
    <col min="45" max="45" width="13.1640625" style="140" customWidth="1"/>
    <col min="46" max="46" width="8.5" style="140" customWidth="1"/>
    <col min="47" max="47" width="21.83203125" style="140" customWidth="1"/>
    <col min="48" max="48" width="13.1640625" style="140" customWidth="1"/>
    <col min="49" max="49" width="8.5" style="140" customWidth="1"/>
    <col min="50" max="50" width="21.83203125" style="140" customWidth="1"/>
    <col min="51" max="51" width="13.1640625" style="140" customWidth="1"/>
    <col min="52" max="52" width="8.5" style="140" customWidth="1"/>
    <col min="53" max="53" width="21.83203125" style="140" customWidth="1"/>
    <col min="54" max="54" width="13.1640625" style="140" customWidth="1"/>
    <col min="55" max="55" width="8.5" style="140" customWidth="1"/>
    <col min="56" max="56" width="21.83203125" style="140" customWidth="1"/>
    <col min="57" max="57" width="13.1640625" style="140" customWidth="1"/>
    <col min="58" max="58" width="8.5" style="140" customWidth="1"/>
    <col min="59" max="59" width="21.83203125" style="140" customWidth="1"/>
    <col min="60" max="60" width="13.1640625" style="140" customWidth="1"/>
    <col min="61" max="61" width="8.5" style="140" customWidth="1"/>
    <col min="62" max="16384" width="10" style="140"/>
  </cols>
  <sheetData>
    <row r="1" spans="2:60" ht="45" x14ac:dyDescent="0.45">
      <c r="B1" s="460" t="s">
        <v>113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</row>
    <row r="2" spans="2:60" x14ac:dyDescent="0.15">
      <c r="G2" s="362"/>
    </row>
    <row r="3" spans="2:60" x14ac:dyDescent="0.15">
      <c r="B3" s="483" t="s">
        <v>114</v>
      </c>
      <c r="C3" s="484"/>
      <c r="E3" s="482">
        <v>1</v>
      </c>
      <c r="F3" s="482"/>
      <c r="H3" s="482">
        <f>E3+1</f>
        <v>2</v>
      </c>
      <c r="I3" s="482"/>
      <c r="J3" s="140" t="s">
        <v>63</v>
      </c>
      <c r="K3" s="482">
        <f>H3+1</f>
        <v>3</v>
      </c>
      <c r="L3" s="482"/>
      <c r="N3" s="482">
        <f>K3+1</f>
        <v>4</v>
      </c>
      <c r="O3" s="482"/>
      <c r="P3" s="140" t="s">
        <v>63</v>
      </c>
      <c r="Q3" s="482">
        <f>N3+1</f>
        <v>5</v>
      </c>
      <c r="R3" s="482"/>
      <c r="T3" s="482">
        <f>Q3+1</f>
        <v>6</v>
      </c>
      <c r="U3" s="482"/>
      <c r="W3" s="482">
        <f>T3+1</f>
        <v>7</v>
      </c>
      <c r="X3" s="482"/>
      <c r="Y3" s="140" t="s">
        <v>63</v>
      </c>
      <c r="Z3" s="482">
        <f>W3+1</f>
        <v>8</v>
      </c>
      <c r="AA3" s="482"/>
      <c r="AB3" s="140" t="s">
        <v>63</v>
      </c>
      <c r="AC3" s="482">
        <f>Z3+1</f>
        <v>9</v>
      </c>
      <c r="AD3" s="482"/>
      <c r="AE3" s="140" t="s">
        <v>63</v>
      </c>
      <c r="AF3" s="482">
        <f>AC3+1</f>
        <v>10</v>
      </c>
      <c r="AG3" s="482"/>
      <c r="AI3" s="482">
        <f>AF3+1</f>
        <v>11</v>
      </c>
      <c r="AJ3" s="482"/>
    </row>
    <row r="4" spans="2:60" x14ac:dyDescent="0.15">
      <c r="B4" s="480" t="s">
        <v>115</v>
      </c>
      <c r="C4" s="481"/>
      <c r="D4" s="141"/>
      <c r="F4" s="142" t="s">
        <v>116</v>
      </c>
      <c r="G4" s="143"/>
      <c r="I4" s="144" t="s">
        <v>117</v>
      </c>
      <c r="J4" s="143"/>
      <c r="L4" s="144" t="s">
        <v>118</v>
      </c>
      <c r="M4" s="143"/>
      <c r="O4" s="145" t="s">
        <v>119</v>
      </c>
      <c r="P4" s="143"/>
      <c r="Q4" s="146" t="s">
        <v>63</v>
      </c>
      <c r="R4" s="145" t="s">
        <v>120</v>
      </c>
      <c r="S4" s="147"/>
      <c r="T4" s="146" t="s">
        <v>63</v>
      </c>
      <c r="U4" s="145" t="s">
        <v>121</v>
      </c>
      <c r="V4" s="143"/>
      <c r="W4" s="146" t="s">
        <v>63</v>
      </c>
      <c r="X4" s="145" t="s">
        <v>46</v>
      </c>
      <c r="Y4" s="143"/>
      <c r="Z4" s="146" t="s">
        <v>63</v>
      </c>
      <c r="AA4" s="145" t="s">
        <v>122</v>
      </c>
      <c r="AC4" s="146" t="s">
        <v>63</v>
      </c>
      <c r="AD4" s="145" t="s">
        <v>123</v>
      </c>
      <c r="AE4" s="143"/>
      <c r="AF4" s="146" t="s">
        <v>63</v>
      </c>
      <c r="AG4" s="145" t="s">
        <v>124</v>
      </c>
      <c r="AI4" s="146" t="s">
        <v>63</v>
      </c>
      <c r="AJ4" s="145" t="s">
        <v>49</v>
      </c>
    </row>
    <row r="5" spans="2:60" x14ac:dyDescent="0.15">
      <c r="B5" s="480" t="s">
        <v>125</v>
      </c>
      <c r="C5" s="481"/>
      <c r="D5" s="141"/>
      <c r="F5" s="142" t="s">
        <v>126</v>
      </c>
      <c r="G5" s="143"/>
      <c r="I5" s="144" t="s">
        <v>127</v>
      </c>
      <c r="J5" s="143"/>
      <c r="L5" s="144" t="s">
        <v>128</v>
      </c>
      <c r="M5" s="143"/>
      <c r="O5" s="145" t="s">
        <v>129</v>
      </c>
      <c r="P5" s="143"/>
      <c r="Q5" s="146"/>
      <c r="R5" s="145" t="s">
        <v>130</v>
      </c>
      <c r="S5" s="147"/>
      <c r="T5" s="146"/>
      <c r="U5" s="145" t="s">
        <v>131</v>
      </c>
      <c r="V5" s="143"/>
      <c r="W5" s="146"/>
      <c r="X5" s="145" t="s">
        <v>132</v>
      </c>
      <c r="Y5" s="143"/>
      <c r="Z5" s="146"/>
      <c r="AA5" s="145" t="s">
        <v>133</v>
      </c>
      <c r="AC5" s="146"/>
      <c r="AD5" s="145" t="s">
        <v>134</v>
      </c>
      <c r="AE5" s="143"/>
      <c r="AF5" s="146"/>
      <c r="AG5" s="145" t="s">
        <v>135</v>
      </c>
      <c r="AI5" s="146"/>
      <c r="AJ5" s="145" t="s">
        <v>136</v>
      </c>
    </row>
    <row r="6" spans="2:60" x14ac:dyDescent="0.15">
      <c r="B6" s="148" t="s">
        <v>137</v>
      </c>
      <c r="C6" s="149" t="s">
        <v>138</v>
      </c>
      <c r="E6" s="150" t="s">
        <v>137</v>
      </c>
      <c r="F6" s="151" t="s">
        <v>138</v>
      </c>
      <c r="G6" s="152"/>
      <c r="H6" s="150" t="s">
        <v>137</v>
      </c>
      <c r="I6" s="151" t="s">
        <v>138</v>
      </c>
      <c r="J6" s="152"/>
      <c r="K6" s="150" t="s">
        <v>137</v>
      </c>
      <c r="L6" s="151" t="s">
        <v>138</v>
      </c>
      <c r="M6" s="152"/>
      <c r="N6" s="150" t="s">
        <v>137</v>
      </c>
      <c r="O6" s="151" t="s">
        <v>138</v>
      </c>
      <c r="P6" s="153"/>
      <c r="Q6" s="150" t="s">
        <v>137</v>
      </c>
      <c r="R6" s="151" t="s">
        <v>138</v>
      </c>
      <c r="S6" s="154"/>
      <c r="T6" s="150" t="s">
        <v>137</v>
      </c>
      <c r="U6" s="151" t="s">
        <v>138</v>
      </c>
      <c r="V6" s="153"/>
      <c r="W6" s="150" t="s">
        <v>137</v>
      </c>
      <c r="X6" s="151" t="s">
        <v>138</v>
      </c>
      <c r="Y6" s="143"/>
      <c r="Z6" s="150" t="s">
        <v>137</v>
      </c>
      <c r="AA6" s="151" t="s">
        <v>138</v>
      </c>
      <c r="AB6" s="153"/>
      <c r="AC6" s="150" t="s">
        <v>137</v>
      </c>
      <c r="AD6" s="151" t="s">
        <v>138</v>
      </c>
      <c r="AE6" s="153"/>
      <c r="AF6" s="150" t="s">
        <v>137</v>
      </c>
      <c r="AG6" s="151" t="s">
        <v>138</v>
      </c>
      <c r="AI6" s="150" t="s">
        <v>137</v>
      </c>
      <c r="AJ6" s="151" t="s">
        <v>138</v>
      </c>
    </row>
    <row r="7" spans="2:60" x14ac:dyDescent="0.15">
      <c r="B7" s="155" t="s">
        <v>139</v>
      </c>
      <c r="C7" s="156">
        <v>4249.8</v>
      </c>
      <c r="E7" s="157" t="s">
        <v>139</v>
      </c>
      <c r="F7" s="158">
        <v>2753</v>
      </c>
      <c r="G7" s="152"/>
      <c r="H7" s="157" t="s">
        <v>139</v>
      </c>
      <c r="I7" s="159">
        <v>31099.1</v>
      </c>
      <c r="J7" s="152"/>
      <c r="K7" s="157" t="s">
        <v>139</v>
      </c>
      <c r="L7" s="159">
        <v>212.7</v>
      </c>
      <c r="M7" s="152"/>
      <c r="N7" s="157" t="s">
        <v>139</v>
      </c>
      <c r="O7" s="159">
        <v>5586.5</v>
      </c>
      <c r="P7" s="152"/>
      <c r="Q7" s="157" t="s">
        <v>139</v>
      </c>
      <c r="R7" s="158">
        <v>6736</v>
      </c>
      <c r="S7" s="160"/>
      <c r="T7" s="157" t="s">
        <v>139</v>
      </c>
      <c r="U7" s="158">
        <v>4341.1000000000004</v>
      </c>
      <c r="V7" s="152"/>
      <c r="W7" s="157" t="s">
        <v>139</v>
      </c>
      <c r="X7" s="158">
        <v>5510.6</v>
      </c>
      <c r="Y7" s="143"/>
      <c r="Z7" s="157" t="s">
        <v>139</v>
      </c>
      <c r="AA7" s="158">
        <v>2938.6</v>
      </c>
      <c r="AB7" s="152"/>
      <c r="AC7" s="157" t="s">
        <v>139</v>
      </c>
      <c r="AD7" s="158">
        <v>10638.1</v>
      </c>
      <c r="AE7" s="152"/>
      <c r="AF7" s="157" t="s">
        <v>139</v>
      </c>
      <c r="AG7" s="158">
        <v>1924.2</v>
      </c>
      <c r="AI7" s="157" t="s">
        <v>139</v>
      </c>
      <c r="AJ7" s="158">
        <v>11311</v>
      </c>
    </row>
    <row r="8" spans="2:60" x14ac:dyDescent="0.15">
      <c r="B8" s="161" t="s">
        <v>140</v>
      </c>
      <c r="C8" s="162">
        <v>46387</v>
      </c>
      <c r="E8" s="163" t="s">
        <v>140</v>
      </c>
      <c r="F8" s="164">
        <v>46295</v>
      </c>
      <c r="G8" s="152"/>
      <c r="H8" s="163" t="s">
        <v>140</v>
      </c>
      <c r="I8" s="164">
        <v>46387</v>
      </c>
      <c r="J8" s="152"/>
      <c r="K8" s="163" t="s">
        <v>140</v>
      </c>
      <c r="L8" s="164">
        <v>46387</v>
      </c>
      <c r="M8" s="152"/>
      <c r="N8" s="163" t="s">
        <v>140</v>
      </c>
      <c r="O8" s="164">
        <v>46387</v>
      </c>
      <c r="P8" s="152"/>
      <c r="Q8" s="163" t="s">
        <v>140</v>
      </c>
      <c r="R8" s="164">
        <v>46387</v>
      </c>
      <c r="S8" s="160"/>
      <c r="T8" s="163" t="s">
        <v>140</v>
      </c>
      <c r="U8" s="164">
        <v>46387</v>
      </c>
      <c r="V8" s="152"/>
      <c r="W8" s="163" t="s">
        <v>140</v>
      </c>
      <c r="X8" s="164">
        <v>46112</v>
      </c>
      <c r="Y8" s="143"/>
      <c r="Z8" s="163" t="s">
        <v>140</v>
      </c>
      <c r="AA8" s="164">
        <v>46387</v>
      </c>
      <c r="AB8" s="152"/>
      <c r="AC8" s="163" t="s">
        <v>140</v>
      </c>
      <c r="AD8" s="164">
        <v>46387</v>
      </c>
      <c r="AE8" s="152"/>
      <c r="AF8" s="163" t="s">
        <v>140</v>
      </c>
      <c r="AG8" s="164">
        <v>46387</v>
      </c>
      <c r="AI8" s="163" t="s">
        <v>140</v>
      </c>
      <c r="AJ8" s="164">
        <v>46053</v>
      </c>
    </row>
    <row r="9" spans="2:60" x14ac:dyDescent="0.15">
      <c r="B9" s="165" t="s">
        <v>141</v>
      </c>
      <c r="C9" s="166">
        <v>2633.2</v>
      </c>
      <c r="E9" s="167" t="s">
        <v>141</v>
      </c>
      <c r="F9" s="158">
        <v>2015.9</v>
      </c>
      <c r="G9" s="152"/>
      <c r="H9" s="167" t="s">
        <v>141</v>
      </c>
      <c r="I9" s="158">
        <v>25619.7</v>
      </c>
      <c r="J9" s="152"/>
      <c r="K9" s="167" t="s">
        <v>141</v>
      </c>
      <c r="L9" s="158">
        <v>230.5</v>
      </c>
      <c r="M9" s="152"/>
      <c r="N9" s="167" t="s">
        <v>141</v>
      </c>
      <c r="O9" s="158">
        <v>4482.8999999999996</v>
      </c>
      <c r="P9" s="152"/>
      <c r="Q9" s="167" t="s">
        <v>141</v>
      </c>
      <c r="R9" s="158">
        <v>5166</v>
      </c>
      <c r="S9" s="160"/>
      <c r="T9" s="167" t="s">
        <v>141</v>
      </c>
      <c r="U9" s="158">
        <v>4102.1000000000004</v>
      </c>
      <c r="V9" s="152"/>
      <c r="W9" s="167" t="s">
        <v>141</v>
      </c>
      <c r="X9" s="158">
        <v>4923.6000000000004</v>
      </c>
      <c r="Y9" s="143"/>
      <c r="Z9" s="167" t="s">
        <v>141</v>
      </c>
      <c r="AA9" s="158">
        <v>2282.9</v>
      </c>
      <c r="AB9" s="152"/>
      <c r="AC9" s="167" t="s">
        <v>141</v>
      </c>
      <c r="AD9" s="158">
        <v>8969.4</v>
      </c>
      <c r="AE9" s="152"/>
      <c r="AF9" s="167" t="s">
        <v>141</v>
      </c>
      <c r="AG9" s="158">
        <v>1755</v>
      </c>
      <c r="AI9" s="167" t="s">
        <v>141</v>
      </c>
      <c r="AJ9" s="158">
        <v>10181.700000000001</v>
      </c>
    </row>
    <row r="10" spans="2:60" x14ac:dyDescent="0.15">
      <c r="B10" s="165" t="s">
        <v>142</v>
      </c>
      <c r="C10" s="168">
        <v>45657</v>
      </c>
      <c r="E10" s="167" t="s">
        <v>142</v>
      </c>
      <c r="F10" s="164">
        <v>45657</v>
      </c>
      <c r="G10" s="152"/>
      <c r="H10" s="167" t="s">
        <v>142</v>
      </c>
      <c r="I10" s="164">
        <v>45657</v>
      </c>
      <c r="J10" s="152"/>
      <c r="K10" s="167" t="s">
        <v>142</v>
      </c>
      <c r="L10" s="164">
        <v>45657</v>
      </c>
      <c r="M10" s="152"/>
      <c r="N10" s="167" t="s">
        <v>142</v>
      </c>
      <c r="O10" s="164">
        <v>45657</v>
      </c>
      <c r="P10" s="152"/>
      <c r="Q10" s="167" t="s">
        <v>142</v>
      </c>
      <c r="R10" s="164">
        <v>45657</v>
      </c>
      <c r="S10" s="160"/>
      <c r="T10" s="167" t="s">
        <v>142</v>
      </c>
      <c r="U10" s="164">
        <v>45657</v>
      </c>
      <c r="V10" s="152"/>
      <c r="W10" s="167" t="s">
        <v>142</v>
      </c>
      <c r="X10" s="164">
        <v>45657</v>
      </c>
      <c r="Y10" s="143"/>
      <c r="Z10" s="167" t="s">
        <v>142</v>
      </c>
      <c r="AA10" s="164">
        <v>45657</v>
      </c>
      <c r="AB10" s="152"/>
      <c r="AC10" s="167" t="s">
        <v>142</v>
      </c>
      <c r="AD10" s="164">
        <v>45657</v>
      </c>
      <c r="AE10" s="152"/>
      <c r="AF10" s="167" t="s">
        <v>142</v>
      </c>
      <c r="AG10" s="164">
        <v>45654</v>
      </c>
      <c r="AI10" s="167" t="s">
        <v>142</v>
      </c>
      <c r="AJ10" s="164">
        <v>45657</v>
      </c>
    </row>
    <row r="11" spans="2:60" x14ac:dyDescent="0.15">
      <c r="B11" s="169" t="s">
        <v>143</v>
      </c>
      <c r="C11" s="156">
        <v>1596.6</v>
      </c>
      <c r="E11" s="157" t="s">
        <v>143</v>
      </c>
      <c r="F11" s="158">
        <v>1183.3</v>
      </c>
      <c r="G11" s="152"/>
      <c r="H11" s="157" t="s">
        <v>143</v>
      </c>
      <c r="I11" s="158">
        <v>13008.4</v>
      </c>
      <c r="J11" s="152"/>
      <c r="K11" s="157" t="s">
        <v>143</v>
      </c>
      <c r="L11" s="158">
        <v>166.1</v>
      </c>
      <c r="M11" s="152"/>
      <c r="N11" s="157" t="s">
        <v>143</v>
      </c>
      <c r="O11" s="158">
        <v>2503.1999999999998</v>
      </c>
      <c r="P11" s="152"/>
      <c r="Q11" s="157" t="s">
        <v>143</v>
      </c>
      <c r="R11" s="158">
        <v>2856</v>
      </c>
      <c r="S11" s="160"/>
      <c r="T11" s="157" t="s">
        <v>143</v>
      </c>
      <c r="U11" s="158">
        <v>2413.5</v>
      </c>
      <c r="V11" s="152"/>
      <c r="W11" s="157" t="s">
        <v>143</v>
      </c>
      <c r="X11" s="158">
        <v>2845.4</v>
      </c>
      <c r="Y11" s="143"/>
      <c r="Z11" s="157" t="s">
        <v>143</v>
      </c>
      <c r="AA11" s="158">
        <v>936.9</v>
      </c>
      <c r="AB11" s="152"/>
      <c r="AC11" s="157" t="s">
        <v>143</v>
      </c>
      <c r="AD11" s="158">
        <v>4767.3999999999996</v>
      </c>
      <c r="AE11" s="152"/>
      <c r="AF11" s="157" t="s">
        <v>143</v>
      </c>
      <c r="AG11" s="158">
        <v>781.5</v>
      </c>
      <c r="AI11" s="157" t="s">
        <v>143</v>
      </c>
      <c r="AJ11" s="158">
        <v>5992.3</v>
      </c>
    </row>
    <row r="12" spans="2:60" x14ac:dyDescent="0.15">
      <c r="B12" s="169" t="s">
        <v>144</v>
      </c>
      <c r="C12" s="156">
        <v>359.3</v>
      </c>
      <c r="D12" s="479"/>
      <c r="E12" s="157" t="s">
        <v>144</v>
      </c>
      <c r="F12" s="158">
        <v>64.7</v>
      </c>
      <c r="G12" s="152"/>
      <c r="H12" s="157" t="s">
        <v>144</v>
      </c>
      <c r="I12" s="158">
        <v>2815.9</v>
      </c>
      <c r="J12" s="152"/>
      <c r="K12" s="157" t="s">
        <v>144</v>
      </c>
      <c r="L12" s="158">
        <v>45.6</v>
      </c>
      <c r="M12" s="152"/>
      <c r="N12" s="157" t="s">
        <v>144</v>
      </c>
      <c r="O12" s="158">
        <v>808.1</v>
      </c>
      <c r="P12" s="152"/>
      <c r="Q12" s="157" t="s">
        <v>144</v>
      </c>
      <c r="R12" s="158">
        <v>825.3</v>
      </c>
      <c r="S12" s="160"/>
      <c r="T12" s="157" t="s">
        <v>144</v>
      </c>
      <c r="U12" s="170">
        <v>1181.5</v>
      </c>
      <c r="V12" s="152"/>
      <c r="W12" s="157" t="s">
        <v>144</v>
      </c>
      <c r="X12" s="170">
        <v>1226</v>
      </c>
      <c r="Y12" s="143"/>
      <c r="Z12" s="157" t="s">
        <v>144</v>
      </c>
      <c r="AA12" s="170">
        <v>322.3</v>
      </c>
      <c r="AB12" s="152"/>
      <c r="AC12" s="157" t="s">
        <v>144</v>
      </c>
      <c r="AD12" s="170">
        <v>1115.8</v>
      </c>
      <c r="AE12" s="152"/>
      <c r="AF12" s="157" t="s">
        <v>144</v>
      </c>
      <c r="AG12" s="170">
        <v>146</v>
      </c>
      <c r="AI12" s="157" t="s">
        <v>144</v>
      </c>
      <c r="AJ12" s="170">
        <v>2868.1</v>
      </c>
    </row>
    <row r="13" spans="2:60" x14ac:dyDescent="0.15">
      <c r="B13" s="169" t="s">
        <v>145</v>
      </c>
      <c r="C13" s="156">
        <v>240.9</v>
      </c>
      <c r="D13" s="479"/>
      <c r="E13" s="157" t="s">
        <v>145</v>
      </c>
      <c r="F13" s="158">
        <v>528</v>
      </c>
      <c r="G13" s="152"/>
      <c r="H13" s="157" t="s">
        <v>145</v>
      </c>
      <c r="I13" s="158">
        <v>1558</v>
      </c>
      <c r="J13" s="152"/>
      <c r="K13" s="157" t="s">
        <v>145</v>
      </c>
      <c r="L13" s="158">
        <v>31</v>
      </c>
      <c r="M13" s="152"/>
      <c r="N13" s="157" t="s">
        <v>145</v>
      </c>
      <c r="O13" s="158">
        <v>664</v>
      </c>
      <c r="P13" s="152"/>
      <c r="Q13" s="157" t="s">
        <v>145</v>
      </c>
      <c r="R13" s="158">
        <v>551.5</v>
      </c>
      <c r="S13" s="160"/>
      <c r="T13" s="157" t="s">
        <v>145</v>
      </c>
      <c r="U13" s="158">
        <v>1049</v>
      </c>
      <c r="V13" s="152"/>
      <c r="W13" s="157" t="s">
        <v>145</v>
      </c>
      <c r="X13" s="158">
        <v>1156.0999999999999</v>
      </c>
      <c r="Y13" s="143"/>
      <c r="Z13" s="157" t="s">
        <v>145</v>
      </c>
      <c r="AA13" s="158">
        <v>266.3</v>
      </c>
      <c r="AB13" s="152"/>
      <c r="AC13" s="157" t="s">
        <v>145</v>
      </c>
      <c r="AD13" s="158">
        <v>904.3</v>
      </c>
      <c r="AE13" s="152"/>
      <c r="AF13" s="157" t="s">
        <v>145</v>
      </c>
      <c r="AG13" s="158">
        <v>99.9</v>
      </c>
      <c r="AI13" s="157" t="s">
        <v>145</v>
      </c>
      <c r="AJ13" s="158">
        <v>2451.9</v>
      </c>
    </row>
    <row r="14" spans="2:60" x14ac:dyDescent="0.15">
      <c r="B14" s="169" t="s">
        <v>146</v>
      </c>
      <c r="C14" s="156">
        <v>562.79999999999995</v>
      </c>
      <c r="E14" s="157" t="s">
        <v>146</v>
      </c>
      <c r="F14" s="158">
        <v>413.3</v>
      </c>
      <c r="G14" s="152"/>
      <c r="H14" s="157" t="s">
        <v>146</v>
      </c>
      <c r="I14" s="158">
        <v>2974.9</v>
      </c>
      <c r="J14" s="152"/>
      <c r="K14" s="157" t="s">
        <v>146</v>
      </c>
      <c r="L14" s="158">
        <v>38.9</v>
      </c>
      <c r="M14" s="152"/>
      <c r="N14" s="157" t="s">
        <v>146</v>
      </c>
      <c r="O14" s="158">
        <v>691.2</v>
      </c>
      <c r="P14" s="152"/>
      <c r="Q14" s="157" t="s">
        <v>146</v>
      </c>
      <c r="R14" s="158">
        <v>424.7</v>
      </c>
      <c r="S14" s="160"/>
      <c r="T14" s="157" t="s">
        <v>146</v>
      </c>
      <c r="U14" s="170">
        <v>992.5</v>
      </c>
      <c r="V14" s="152"/>
      <c r="W14" s="157" t="s">
        <v>146</v>
      </c>
      <c r="X14" s="170">
        <v>1088.8</v>
      </c>
      <c r="Y14" s="143"/>
      <c r="Z14" s="157" t="s">
        <v>146</v>
      </c>
      <c r="AA14" s="170">
        <v>198.1</v>
      </c>
      <c r="AB14" s="152"/>
      <c r="AC14" s="157" t="s">
        <v>146</v>
      </c>
      <c r="AD14" s="170">
        <v>687.4</v>
      </c>
      <c r="AE14" s="152"/>
      <c r="AF14" s="157" t="s">
        <v>146</v>
      </c>
      <c r="AG14" s="170">
        <v>180.1</v>
      </c>
      <c r="AI14" s="157" t="s">
        <v>146</v>
      </c>
      <c r="AJ14" s="170">
        <v>2255.4</v>
      </c>
    </row>
    <row r="15" spans="2:60" ht="15" thickBot="1" x14ac:dyDescent="0.2">
      <c r="B15" s="171" t="s">
        <v>147</v>
      </c>
      <c r="C15" s="172">
        <v>494.1</v>
      </c>
      <c r="E15" s="173" t="s">
        <v>147</v>
      </c>
      <c r="F15" s="158">
        <v>346.3</v>
      </c>
      <c r="G15" s="152"/>
      <c r="H15" s="173" t="s">
        <v>147</v>
      </c>
      <c r="I15" s="158">
        <v>2708.7</v>
      </c>
      <c r="J15" s="152"/>
      <c r="K15" s="173" t="s">
        <v>147</v>
      </c>
      <c r="L15" s="158">
        <v>38.9</v>
      </c>
      <c r="M15" s="152"/>
      <c r="N15" s="173" t="s">
        <v>147</v>
      </c>
      <c r="O15" s="158">
        <v>616</v>
      </c>
      <c r="P15" s="152"/>
      <c r="Q15" s="173" t="s">
        <v>147</v>
      </c>
      <c r="R15" s="158">
        <v>195.6</v>
      </c>
      <c r="S15" s="160"/>
      <c r="T15" s="173" t="s">
        <v>147</v>
      </c>
      <c r="U15" s="170">
        <v>923.1</v>
      </c>
      <c r="V15" s="152"/>
      <c r="W15" s="173" t="s">
        <v>147</v>
      </c>
      <c r="X15" s="170">
        <v>1003.8</v>
      </c>
      <c r="Y15" s="143"/>
      <c r="Z15" s="173" t="s">
        <v>147</v>
      </c>
      <c r="AA15" s="170">
        <v>172.2</v>
      </c>
      <c r="AB15" s="152"/>
      <c r="AC15" s="173" t="s">
        <v>147</v>
      </c>
      <c r="AD15" s="170">
        <v>270.60000000000002</v>
      </c>
      <c r="AE15" s="152"/>
      <c r="AF15" s="173" t="s">
        <v>147</v>
      </c>
      <c r="AG15" s="170">
        <v>159.9</v>
      </c>
      <c r="AI15" s="173" t="s">
        <v>147</v>
      </c>
      <c r="AJ15" s="170">
        <v>1594.7</v>
      </c>
    </row>
    <row r="16" spans="2:60" ht="15" thickBot="1" x14ac:dyDescent="0.2"/>
    <row r="17" spans="2:36" ht="15" thickBot="1" x14ac:dyDescent="0.2">
      <c r="B17" s="188" t="s">
        <v>148</v>
      </c>
      <c r="C17" s="194">
        <f>65.1+319.7</f>
        <v>384.79999999999995</v>
      </c>
      <c r="E17" s="189" t="s">
        <v>148</v>
      </c>
      <c r="F17" s="190">
        <f>73.1+1463.9</f>
        <v>1537</v>
      </c>
      <c r="H17" s="189" t="s">
        <v>148</v>
      </c>
      <c r="I17" s="190">
        <f>1337.1+4563.9</f>
        <v>5901</v>
      </c>
      <c r="K17" s="189" t="s">
        <v>148</v>
      </c>
      <c r="L17" s="190">
        <v>74.099999999999994</v>
      </c>
      <c r="N17" s="193" t="s">
        <v>148</v>
      </c>
      <c r="O17" s="190">
        <f>257+488.2</f>
        <v>745.2</v>
      </c>
      <c r="Q17" s="189" t="s">
        <v>148</v>
      </c>
      <c r="R17" s="190">
        <v>1483.2</v>
      </c>
      <c r="T17" s="189" t="s">
        <v>148</v>
      </c>
      <c r="U17" s="190">
        <v>1701.3</v>
      </c>
      <c r="W17" s="189" t="s">
        <v>148</v>
      </c>
      <c r="X17" s="314">
        <v>266.90000000000003</v>
      </c>
      <c r="Z17" s="189" t="s">
        <v>148</v>
      </c>
      <c r="AA17" s="190">
        <v>153</v>
      </c>
      <c r="AC17" s="189" t="s">
        <v>148</v>
      </c>
      <c r="AD17" s="190">
        <v>1929.1</v>
      </c>
      <c r="AF17" s="189" t="s">
        <v>148</v>
      </c>
      <c r="AG17" s="190">
        <v>797.7</v>
      </c>
      <c r="AI17" s="189" t="s">
        <v>148</v>
      </c>
      <c r="AJ17" s="190">
        <v>1403.3</v>
      </c>
    </row>
    <row r="18" spans="2:36" ht="15" thickBot="1" x14ac:dyDescent="0.2">
      <c r="B18" s="171" t="s">
        <v>149</v>
      </c>
      <c r="C18" s="195">
        <v>14977.6</v>
      </c>
      <c r="E18" s="173" t="s">
        <v>149</v>
      </c>
      <c r="F18" s="191">
        <v>8503</v>
      </c>
      <c r="H18" s="173" t="s">
        <v>149</v>
      </c>
      <c r="I18" s="191">
        <v>43248.7</v>
      </c>
      <c r="K18" s="173" t="s">
        <v>149</v>
      </c>
      <c r="L18" s="191">
        <v>165.7</v>
      </c>
      <c r="N18" s="192" t="s">
        <v>149</v>
      </c>
      <c r="O18" s="191">
        <v>15740</v>
      </c>
      <c r="Q18" s="173" t="s">
        <v>149</v>
      </c>
      <c r="R18" s="191">
        <v>16161.2</v>
      </c>
      <c r="T18" s="173" t="s">
        <v>149</v>
      </c>
      <c r="U18" s="191">
        <v>5908.9</v>
      </c>
      <c r="W18" s="173" t="s">
        <v>149</v>
      </c>
      <c r="X18" s="315">
        <v>17962.400000000001</v>
      </c>
      <c r="Z18" s="173" t="s">
        <v>149</v>
      </c>
      <c r="AA18" s="191">
        <v>1811.8</v>
      </c>
      <c r="AC18" s="173" t="s">
        <v>149</v>
      </c>
      <c r="AD18" s="191">
        <v>8540.7999999999993</v>
      </c>
      <c r="AF18" s="173" t="s">
        <v>149</v>
      </c>
      <c r="AG18" s="191">
        <v>1117.2</v>
      </c>
      <c r="AI18" s="173" t="s">
        <v>149</v>
      </c>
      <c r="AJ18" s="191">
        <v>39678.9</v>
      </c>
    </row>
    <row r="19" spans="2:36" ht="15" thickBot="1" x14ac:dyDescent="0.2"/>
    <row r="20" spans="2:36" x14ac:dyDescent="0.15">
      <c r="B20" s="174" t="s">
        <v>150</v>
      </c>
      <c r="C20" s="174">
        <f>DATEDIF(C10,C8,"m")</f>
        <v>24</v>
      </c>
      <c r="E20" s="174" t="s">
        <v>150</v>
      </c>
      <c r="F20" s="174">
        <f>DATEDIF(F10,F8,"m")</f>
        <v>20</v>
      </c>
      <c r="G20" s="160"/>
      <c r="H20" s="174" t="s">
        <v>150</v>
      </c>
      <c r="I20" s="174">
        <f>DATEDIF(I10,I8,"m")</f>
        <v>24</v>
      </c>
      <c r="J20" s="160"/>
      <c r="K20" s="174" t="s">
        <v>150</v>
      </c>
      <c r="L20" s="174">
        <f>DATEDIF(L10,L8,"m")</f>
        <v>24</v>
      </c>
      <c r="M20" s="160"/>
      <c r="N20" s="174" t="s">
        <v>150</v>
      </c>
      <c r="O20" s="174">
        <f>DATEDIF(O10,O8,"m")</f>
        <v>24</v>
      </c>
      <c r="P20" s="160"/>
      <c r="Q20" s="174" t="s">
        <v>150</v>
      </c>
      <c r="R20" s="174">
        <f>DATEDIF(R10,R8,"m")</f>
        <v>24</v>
      </c>
      <c r="S20" s="160"/>
      <c r="T20" s="174" t="s">
        <v>150</v>
      </c>
      <c r="U20" s="174">
        <f>DATEDIF(U10,U8,"m")</f>
        <v>24</v>
      </c>
      <c r="V20" s="160"/>
      <c r="W20" s="174" t="s">
        <v>150</v>
      </c>
      <c r="X20" s="174">
        <f>DATEDIF(X10,X8,"m")</f>
        <v>15</v>
      </c>
      <c r="Y20" s="160"/>
      <c r="Z20" s="174" t="s">
        <v>150</v>
      </c>
      <c r="AA20" s="174">
        <f>DATEDIF(AA10,AA8,"m")</f>
        <v>24</v>
      </c>
      <c r="AB20" s="160"/>
      <c r="AC20" s="174" t="s">
        <v>150</v>
      </c>
      <c r="AD20" s="174">
        <f>DATEDIF(AD10,AD8,"m")</f>
        <v>24</v>
      </c>
      <c r="AE20" s="160"/>
      <c r="AF20" s="174" t="s">
        <v>150</v>
      </c>
      <c r="AG20" s="174">
        <f>DATEDIF(AG10,AG8,"m")</f>
        <v>24</v>
      </c>
      <c r="AI20" s="174" t="s">
        <v>150</v>
      </c>
      <c r="AJ20" s="174">
        <f>DATEDIF(AJ10,AJ8,"m")</f>
        <v>13</v>
      </c>
    </row>
    <row r="21" spans="2:36" ht="15" thickBot="1" x14ac:dyDescent="0.2">
      <c r="B21" s="175" t="s">
        <v>151</v>
      </c>
      <c r="C21" s="176">
        <f>C20/12</f>
        <v>2</v>
      </c>
      <c r="E21" s="175" t="s">
        <v>151</v>
      </c>
      <c r="F21" s="177">
        <f>F20/12</f>
        <v>1.6666666666666667</v>
      </c>
      <c r="G21" s="160"/>
      <c r="H21" s="175" t="s">
        <v>151</v>
      </c>
      <c r="I21" s="175">
        <f>I20/12</f>
        <v>2</v>
      </c>
      <c r="J21" s="160"/>
      <c r="K21" s="175" t="s">
        <v>151</v>
      </c>
      <c r="L21" s="175">
        <f>L20/12</f>
        <v>2</v>
      </c>
      <c r="M21" s="160"/>
      <c r="N21" s="175" t="s">
        <v>151</v>
      </c>
      <c r="O21" s="175">
        <f>O20/12</f>
        <v>2</v>
      </c>
      <c r="P21" s="160"/>
      <c r="Q21" s="175" t="s">
        <v>151</v>
      </c>
      <c r="R21" s="175">
        <f>R20/12</f>
        <v>2</v>
      </c>
      <c r="S21" s="160"/>
      <c r="T21" s="175" t="s">
        <v>151</v>
      </c>
      <c r="U21" s="175">
        <f>U20/12</f>
        <v>2</v>
      </c>
      <c r="V21" s="160"/>
      <c r="W21" s="175" t="s">
        <v>151</v>
      </c>
      <c r="X21" s="175">
        <f>X20/12</f>
        <v>1.25</v>
      </c>
      <c r="Y21" s="160"/>
      <c r="Z21" s="175" t="s">
        <v>151</v>
      </c>
      <c r="AA21" s="175">
        <f>AA20/12</f>
        <v>2</v>
      </c>
      <c r="AB21" s="160"/>
      <c r="AC21" s="175" t="s">
        <v>151</v>
      </c>
      <c r="AD21" s="175">
        <f>AD20/12</f>
        <v>2</v>
      </c>
      <c r="AE21" s="160"/>
      <c r="AF21" s="175" t="s">
        <v>151</v>
      </c>
      <c r="AG21" s="175">
        <f>AG20/12</f>
        <v>2</v>
      </c>
      <c r="AI21" s="175" t="s">
        <v>151</v>
      </c>
      <c r="AJ21" s="177">
        <f>AJ20/12</f>
        <v>1.0833333333333333</v>
      </c>
    </row>
    <row r="23" spans="2:36" x14ac:dyDescent="0.15">
      <c r="B23" s="178" t="s">
        <v>152</v>
      </c>
      <c r="C23" s="179">
        <f>RATE(C21,0,(C9*(-1)),C7)</f>
        <v>0.27040537594554603</v>
      </c>
      <c r="D23" s="180"/>
      <c r="E23" s="178" t="s">
        <v>152</v>
      </c>
      <c r="F23" s="179">
        <f>RATE(F21,0,(F9*(-1)),F7)</f>
        <v>0.20559749221702506</v>
      </c>
      <c r="G23" s="160"/>
      <c r="H23" s="178" t="s">
        <v>152</v>
      </c>
      <c r="I23" s="179">
        <f>RATE(I21,0,(I9*(-1)),I7)</f>
        <v>0.10175971945089478</v>
      </c>
      <c r="J23" s="160"/>
      <c r="K23" s="178" t="s">
        <v>152</v>
      </c>
      <c r="L23" s="179">
        <f>RATE(L21,0,(L9*(-1)),L7)</f>
        <v>-3.938739719483432E-2</v>
      </c>
      <c r="M23" s="160"/>
      <c r="N23" s="178" t="s">
        <v>152</v>
      </c>
      <c r="O23" s="179">
        <f>RATE(O21,0,(O9*(-1)),O7)</f>
        <v>0.11632429346113236</v>
      </c>
      <c r="P23" s="160"/>
      <c r="Q23" s="178" t="s">
        <v>152</v>
      </c>
      <c r="R23" s="179">
        <f>RATE(R21,0,(R9*(-1)),R7)</f>
        <v>0.14188886585299962</v>
      </c>
      <c r="S23" s="160"/>
      <c r="T23" s="178" t="s">
        <v>152</v>
      </c>
      <c r="U23" s="179">
        <f>RATE(U21,0,(U9*(-1)),U7)</f>
        <v>2.8719029177084594E-2</v>
      </c>
      <c r="V23" s="160"/>
      <c r="W23" s="178" t="s">
        <v>152</v>
      </c>
      <c r="X23" s="179">
        <f>RATE(X21,0,(X9*(-1)),X7)</f>
        <v>9.4291182692745848E-2</v>
      </c>
      <c r="Y23" s="160"/>
      <c r="Z23" s="178" t="s">
        <v>152</v>
      </c>
      <c r="AA23" s="179">
        <f>RATE(AA21,0,(AA9*(-1)),AA7)</f>
        <v>0.13455823674718104</v>
      </c>
      <c r="AB23" s="160"/>
      <c r="AC23" s="178" t="s">
        <v>152</v>
      </c>
      <c r="AD23" s="179">
        <f>RATE(AD21,0,(AD9*(-1)),AD7)</f>
        <v>8.9056316061567761E-2</v>
      </c>
      <c r="AE23" s="160"/>
      <c r="AF23" s="178" t="s">
        <v>152</v>
      </c>
      <c r="AG23" s="179">
        <f>RATE(AG21,0,(AG9*(-1)),AG7)</f>
        <v>4.7096106578049191E-2</v>
      </c>
      <c r="AI23" s="178" t="s">
        <v>152</v>
      </c>
      <c r="AJ23" s="179">
        <f>RATE(AJ21,0,(AJ9*(-1)),AJ7)</f>
        <v>0.10196247394926471</v>
      </c>
    </row>
    <row r="24" spans="2:36" x14ac:dyDescent="0.15">
      <c r="B24" s="181" t="s">
        <v>153</v>
      </c>
      <c r="C24" s="182">
        <f>C11/C9</f>
        <v>0.60633449794926331</v>
      </c>
      <c r="E24" s="181" t="s">
        <v>153</v>
      </c>
      <c r="F24" s="182">
        <f>F11/F9</f>
        <v>0.58698348132347833</v>
      </c>
      <c r="G24" s="160"/>
      <c r="H24" s="181" t="s">
        <v>153</v>
      </c>
      <c r="I24" s="182">
        <f>I11/I9</f>
        <v>0.50774989558816064</v>
      </c>
      <c r="J24" s="160"/>
      <c r="K24" s="181" t="s">
        <v>153</v>
      </c>
      <c r="L24" s="182">
        <f>L11/L9</f>
        <v>0.7206073752711496</v>
      </c>
      <c r="M24" s="160"/>
      <c r="N24" s="181" t="s">
        <v>153</v>
      </c>
      <c r="O24" s="182">
        <f>O11/O9</f>
        <v>0.55838854313056285</v>
      </c>
      <c r="P24" s="160"/>
      <c r="Q24" s="181" t="s">
        <v>153</v>
      </c>
      <c r="R24" s="182">
        <f>R11/R9</f>
        <v>0.55284552845528456</v>
      </c>
      <c r="S24" s="160"/>
      <c r="T24" s="181" t="s">
        <v>153</v>
      </c>
      <c r="U24" s="182">
        <f>U11/U9</f>
        <v>0.58835718290631622</v>
      </c>
      <c r="V24" s="160"/>
      <c r="W24" s="181" t="s">
        <v>153</v>
      </c>
      <c r="X24" s="182">
        <f>X11/X9</f>
        <v>0.57791047201234869</v>
      </c>
      <c r="Y24" s="160"/>
      <c r="Z24" s="181" t="s">
        <v>153</v>
      </c>
      <c r="AA24" s="182">
        <f>AA11/AA9</f>
        <v>0.41039905383503433</v>
      </c>
      <c r="AB24" s="160"/>
      <c r="AC24" s="181" t="s">
        <v>153</v>
      </c>
      <c r="AD24" s="182">
        <f>AD11/AD9</f>
        <v>0.53151827324012757</v>
      </c>
      <c r="AE24" s="160"/>
      <c r="AF24" s="181" t="s">
        <v>153</v>
      </c>
      <c r="AG24" s="182">
        <f>AG11/AG9</f>
        <v>0.44529914529914527</v>
      </c>
      <c r="AI24" s="181" t="s">
        <v>153</v>
      </c>
      <c r="AJ24" s="182">
        <f>AJ11/AJ9</f>
        <v>0.58853629551057285</v>
      </c>
    </row>
    <row r="25" spans="2:36" x14ac:dyDescent="0.15">
      <c r="B25" s="181" t="s">
        <v>6</v>
      </c>
      <c r="C25" s="182">
        <f>C12/C9</f>
        <v>0.13644994683275105</v>
      </c>
      <c r="E25" s="181" t="s">
        <v>6</v>
      </c>
      <c r="F25" s="182">
        <f>F12/F9</f>
        <v>3.2094845974502705E-2</v>
      </c>
      <c r="G25" s="160"/>
      <c r="H25" s="181" t="s">
        <v>6</v>
      </c>
      <c r="I25" s="182">
        <f>I12/I9</f>
        <v>0.10991151340569952</v>
      </c>
      <c r="J25" s="160"/>
      <c r="K25" s="181" t="s">
        <v>6</v>
      </c>
      <c r="L25" s="182">
        <f>L12/L9</f>
        <v>0.19783080260303687</v>
      </c>
      <c r="M25" s="160"/>
      <c r="N25" s="181" t="s">
        <v>6</v>
      </c>
      <c r="O25" s="182">
        <f>O12/O9</f>
        <v>0.18026277632782353</v>
      </c>
      <c r="P25" s="160"/>
      <c r="Q25" s="181" t="s">
        <v>6</v>
      </c>
      <c r="R25" s="182">
        <f>R12/R9</f>
        <v>0.15975609756097561</v>
      </c>
      <c r="S25" s="160"/>
      <c r="T25" s="181" t="s">
        <v>6</v>
      </c>
      <c r="U25" s="182">
        <f>U12/U9</f>
        <v>0.2880232076253626</v>
      </c>
      <c r="V25" s="160"/>
      <c r="W25" s="181" t="s">
        <v>6</v>
      </c>
      <c r="X25" s="182">
        <f>X12/X9</f>
        <v>0.24900479324071814</v>
      </c>
      <c r="Y25" s="160"/>
      <c r="Z25" s="181" t="s">
        <v>6</v>
      </c>
      <c r="AA25" s="182">
        <f>AA12/AA9</f>
        <v>0.14118007797100179</v>
      </c>
      <c r="AB25" s="160"/>
      <c r="AC25" s="181" t="s">
        <v>6</v>
      </c>
      <c r="AD25" s="182">
        <f>AD12/AD9</f>
        <v>0.12440074029478003</v>
      </c>
      <c r="AE25" s="160"/>
      <c r="AF25" s="181" t="s">
        <v>6</v>
      </c>
      <c r="AG25" s="182">
        <f>AG12/AG9</f>
        <v>8.3190883190883191E-2</v>
      </c>
      <c r="AI25" s="181" t="s">
        <v>6</v>
      </c>
      <c r="AJ25" s="182">
        <f>AJ12/AJ9</f>
        <v>0.28169166249251104</v>
      </c>
    </row>
    <row r="26" spans="2:36" x14ac:dyDescent="0.15">
      <c r="B26" s="181" t="s">
        <v>10</v>
      </c>
      <c r="C26" s="182">
        <f>C13/C9</f>
        <v>9.1485644842776853E-2</v>
      </c>
      <c r="E26" s="181" t="s">
        <v>10</v>
      </c>
      <c r="F26" s="182">
        <f>F13/F9</f>
        <v>0.26191775385683813</v>
      </c>
      <c r="G26" s="160"/>
      <c r="H26" s="181" t="s">
        <v>10</v>
      </c>
      <c r="I26" s="182">
        <f>I13/I9</f>
        <v>6.0812577820973705E-2</v>
      </c>
      <c r="J26" s="160"/>
      <c r="K26" s="181" t="s">
        <v>10</v>
      </c>
      <c r="L26" s="182">
        <f>L13/L9</f>
        <v>0.13449023861171366</v>
      </c>
      <c r="M26" s="160"/>
      <c r="N26" s="181" t="s">
        <v>10</v>
      </c>
      <c r="O26" s="182">
        <f>O13/O9</f>
        <v>0.14811840549644203</v>
      </c>
      <c r="P26" s="160"/>
      <c r="Q26" s="181" t="s">
        <v>10</v>
      </c>
      <c r="R26" s="182">
        <f>R13/R9</f>
        <v>0.106755710414247</v>
      </c>
      <c r="S26" s="160"/>
      <c r="T26" s="181" t="s">
        <v>10</v>
      </c>
      <c r="U26" s="182">
        <f>U13/U9</f>
        <v>0.25572267862801978</v>
      </c>
      <c r="V26" s="160"/>
      <c r="W26" s="181" t="s">
        <v>10</v>
      </c>
      <c r="X26" s="182">
        <f>X13/X9</f>
        <v>0.2348078641644325</v>
      </c>
      <c r="Y26" s="160"/>
      <c r="Z26" s="181" t="s">
        <v>10</v>
      </c>
      <c r="AA26" s="182">
        <f>AA13/AA9</f>
        <v>0.11664987515878926</v>
      </c>
      <c r="AB26" s="160"/>
      <c r="AC26" s="181" t="s">
        <v>10</v>
      </c>
      <c r="AD26" s="182">
        <f>AD13/AD9</f>
        <v>0.10082056770798492</v>
      </c>
      <c r="AE26" s="160"/>
      <c r="AF26" s="181" t="s">
        <v>10</v>
      </c>
      <c r="AG26" s="182">
        <f>AG13/AG9</f>
        <v>5.6923076923076923E-2</v>
      </c>
      <c r="AI26" s="181" t="s">
        <v>10</v>
      </c>
      <c r="AJ26" s="182">
        <f>AJ13/AJ9</f>
        <v>0.24081440231002679</v>
      </c>
    </row>
    <row r="27" spans="2:36" x14ac:dyDescent="0.15">
      <c r="B27" s="181" t="s">
        <v>154</v>
      </c>
      <c r="C27" s="182">
        <f>C14/C9</f>
        <v>0.21373234087801915</v>
      </c>
      <c r="E27" s="181" t="s">
        <v>154</v>
      </c>
      <c r="F27" s="182">
        <f>F14/F9</f>
        <v>0.20502009028225607</v>
      </c>
      <c r="G27" s="160"/>
      <c r="H27" s="181" t="s">
        <v>154</v>
      </c>
      <c r="I27" s="182">
        <f>I14/I9</f>
        <v>0.11611767507035602</v>
      </c>
      <c r="J27" s="160"/>
      <c r="K27" s="181" t="s">
        <v>154</v>
      </c>
      <c r="L27" s="182">
        <f>L14/L9</f>
        <v>0.16876355748373101</v>
      </c>
      <c r="M27" s="160"/>
      <c r="N27" s="181" t="s">
        <v>154</v>
      </c>
      <c r="O27" s="182">
        <f>O14/O9</f>
        <v>0.15418590644448907</v>
      </c>
      <c r="P27" s="160"/>
      <c r="Q27" s="181" t="s">
        <v>154</v>
      </c>
      <c r="R27" s="182">
        <f>R14/R9</f>
        <v>8.2210607820363921E-2</v>
      </c>
      <c r="S27" s="160"/>
      <c r="T27" s="181" t="s">
        <v>154</v>
      </c>
      <c r="U27" s="182">
        <f>U14/U9</f>
        <v>0.24194924550839811</v>
      </c>
      <c r="V27" s="160"/>
      <c r="W27" s="181" t="s">
        <v>154</v>
      </c>
      <c r="X27" s="182">
        <f>X14/X9</f>
        <v>0.221139003980827</v>
      </c>
      <c r="Y27" s="160"/>
      <c r="Z27" s="181" t="s">
        <v>154</v>
      </c>
      <c r="AA27" s="182">
        <f>AA14/AA9</f>
        <v>8.6775592448201849E-2</v>
      </c>
      <c r="AB27" s="160"/>
      <c r="AC27" s="181" t="s">
        <v>154</v>
      </c>
      <c r="AD27" s="182">
        <f>AD14/AD9</f>
        <v>7.6638348161526967E-2</v>
      </c>
      <c r="AE27" s="160"/>
      <c r="AF27" s="181" t="s">
        <v>154</v>
      </c>
      <c r="AG27" s="182">
        <f>AG14/AG9</f>
        <v>0.10262108262108262</v>
      </c>
      <c r="AI27" s="181" t="s">
        <v>154</v>
      </c>
      <c r="AJ27" s="182">
        <f>AJ14/AJ9</f>
        <v>0.22151507115707592</v>
      </c>
    </row>
    <row r="28" spans="2:36" ht="15" thickBot="1" x14ac:dyDescent="0.2">
      <c r="B28" s="183" t="s">
        <v>155</v>
      </c>
      <c r="C28" s="184">
        <f>C15/C9</f>
        <v>0.18764241227403922</v>
      </c>
      <c r="E28" s="183" t="s">
        <v>155</v>
      </c>
      <c r="F28" s="184">
        <f>F15/F9</f>
        <v>0.1717843146981497</v>
      </c>
      <c r="G28" s="160"/>
      <c r="H28" s="183" t="s">
        <v>155</v>
      </c>
      <c r="I28" s="184">
        <f>I15/I9</f>
        <v>0.10572723333996885</v>
      </c>
      <c r="J28" s="160"/>
      <c r="K28" s="183" t="s">
        <v>155</v>
      </c>
      <c r="L28" s="184">
        <f>L15/L9</f>
        <v>0.16876355748373101</v>
      </c>
      <c r="M28" s="160"/>
      <c r="N28" s="183" t="s">
        <v>155</v>
      </c>
      <c r="O28" s="184">
        <f>O15/O9</f>
        <v>0.13741105088224143</v>
      </c>
      <c r="P28" s="160"/>
      <c r="Q28" s="183" t="s">
        <v>155</v>
      </c>
      <c r="R28" s="184">
        <f>R15/R9</f>
        <v>3.7862950058072005E-2</v>
      </c>
      <c r="S28" s="160"/>
      <c r="T28" s="183" t="s">
        <v>155</v>
      </c>
      <c r="U28" s="185">
        <f>U15/U9</f>
        <v>0.22503108164111063</v>
      </c>
      <c r="V28" s="160"/>
      <c r="W28" s="183" t="s">
        <v>155</v>
      </c>
      <c r="X28" s="185">
        <f>X15/X9</f>
        <v>0.20387521325859126</v>
      </c>
      <c r="Y28" s="160"/>
      <c r="Z28" s="183" t="s">
        <v>155</v>
      </c>
      <c r="AA28" s="185">
        <f>AA15/AA9</f>
        <v>7.5430373647553547E-2</v>
      </c>
      <c r="AB28" s="160"/>
      <c r="AC28" s="183" t="s">
        <v>155</v>
      </c>
      <c r="AD28" s="185">
        <f>AD15/AD9</f>
        <v>3.0169242089771894E-2</v>
      </c>
      <c r="AE28" s="160"/>
      <c r="AF28" s="183" t="s">
        <v>155</v>
      </c>
      <c r="AG28" s="185">
        <f>AG15/AG9</f>
        <v>9.1111111111111115E-2</v>
      </c>
      <c r="AI28" s="183" t="s">
        <v>155</v>
      </c>
      <c r="AJ28" s="185">
        <f>AJ15/AJ9</f>
        <v>0.15662413938733216</v>
      </c>
    </row>
    <row r="29" spans="2:36" ht="15" thickBot="1" x14ac:dyDescent="0.2">
      <c r="Q29" s="198"/>
      <c r="AG29" s="186"/>
    </row>
    <row r="30" spans="2:36" ht="15" thickBot="1" x14ac:dyDescent="0.2">
      <c r="B30" s="196" t="s">
        <v>156</v>
      </c>
      <c r="C30" s="197">
        <f>C17/(C17+C18)</f>
        <v>2.5048169556840076E-2</v>
      </c>
      <c r="E30" s="196" t="s">
        <v>156</v>
      </c>
      <c r="F30" s="197">
        <f>F17/(F17+F18)</f>
        <v>0.15308764940239045</v>
      </c>
      <c r="H30" s="196" t="s">
        <v>156</v>
      </c>
      <c r="I30" s="197">
        <f>I17/(I17+I18)</f>
        <v>0.12006177046858883</v>
      </c>
      <c r="K30" s="196" t="s">
        <v>156</v>
      </c>
      <c r="L30" s="197">
        <f>L17/(L17+L18)</f>
        <v>0.30900750625521267</v>
      </c>
      <c r="N30" s="196" t="s">
        <v>156</v>
      </c>
      <c r="O30" s="197">
        <f>O17/(O17+O18)</f>
        <v>4.520418314609468E-2</v>
      </c>
      <c r="Q30" s="196" t="s">
        <v>156</v>
      </c>
      <c r="R30" s="197">
        <f>R17/(R17+R18)</f>
        <v>8.4060665140214458E-2</v>
      </c>
      <c r="T30" s="196" t="s">
        <v>156</v>
      </c>
      <c r="U30" s="197">
        <f>U17/(U17+U18)</f>
        <v>0.2235552285091062</v>
      </c>
      <c r="W30" s="196" t="s">
        <v>156</v>
      </c>
      <c r="X30" s="197">
        <f>X17/(X17+X18)</f>
        <v>1.464126433818084E-2</v>
      </c>
      <c r="Z30" s="196" t="s">
        <v>156</v>
      </c>
      <c r="AA30" s="197">
        <f>AA17/(AA17+AA18)</f>
        <v>7.7870521172638443E-2</v>
      </c>
      <c r="AC30" s="196" t="s">
        <v>156</v>
      </c>
      <c r="AD30" s="197">
        <f>AD17/(AD17+AD18)</f>
        <v>0.18425199858642394</v>
      </c>
      <c r="AF30" s="196" t="s">
        <v>156</v>
      </c>
      <c r="AG30" s="197">
        <f>AG17/(AG17+AG18)</f>
        <v>0.41657527808240641</v>
      </c>
      <c r="AI30" s="196" t="s">
        <v>156</v>
      </c>
      <c r="AJ30" s="197">
        <f>AJ17/(AJ17+AJ18)</f>
        <v>3.4158345950314244E-2</v>
      </c>
    </row>
    <row r="34" spans="2:2" x14ac:dyDescent="0.15">
      <c r="B34" s="150"/>
    </row>
    <row r="36" spans="2:2" ht="15" customHeight="1" x14ac:dyDescent="0.15"/>
    <row r="61" spans="27:27" x14ac:dyDescent="0.15">
      <c r="AA61" s="187"/>
    </row>
  </sheetData>
  <mergeCells count="16">
    <mergeCell ref="B1:AV1"/>
    <mergeCell ref="B3:C3"/>
    <mergeCell ref="E3:F3"/>
    <mergeCell ref="H3:I3"/>
    <mergeCell ref="K3:L3"/>
    <mergeCell ref="N3:O3"/>
    <mergeCell ref="Q3:R3"/>
    <mergeCell ref="T3:U3"/>
    <mergeCell ref="W3:X3"/>
    <mergeCell ref="Z3:AA3"/>
    <mergeCell ref="D12:D13"/>
    <mergeCell ref="B4:C4"/>
    <mergeCell ref="AC3:AD3"/>
    <mergeCell ref="AF3:AG3"/>
    <mergeCell ref="AI3:AJ3"/>
    <mergeCell ref="B5:C5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9C9E-B5D5-4F54-87C4-7DFCF6F388E2}">
  <sheetPr>
    <tabColor rgb="FF00B0F0"/>
  </sheetPr>
  <dimension ref="B1:P53"/>
  <sheetViews>
    <sheetView zoomScale="85" zoomScaleNormal="85" workbookViewId="0">
      <selection activeCell="R38" sqref="R38"/>
    </sheetView>
  </sheetViews>
  <sheetFormatPr baseColWidth="10" defaultColWidth="10" defaultRowHeight="15" x14ac:dyDescent="0.2"/>
  <cols>
    <col min="1" max="1" width="10" style="25"/>
    <col min="2" max="2" width="19.1640625" style="25" customWidth="1"/>
    <col min="3" max="16384" width="10" style="25"/>
  </cols>
  <sheetData>
    <row r="1" spans="2:16" ht="45" x14ac:dyDescent="0.45">
      <c r="B1" s="485" t="s">
        <v>157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</row>
    <row r="2" spans="2:16" x14ac:dyDescent="0.2"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2:16" ht="16" thickBot="1" x14ac:dyDescent="0.25">
      <c r="B3" s="200" t="s">
        <v>158</v>
      </c>
      <c r="C3" s="201" t="s">
        <v>115</v>
      </c>
      <c r="D3" s="202" t="str">
        <f>'Comps Data'!F4</f>
        <v>BIRK</v>
      </c>
      <c r="E3" s="202" t="str">
        <f>'Comps Data'!I4</f>
        <v>ADDYY</v>
      </c>
      <c r="F3" s="202" t="str">
        <f>'Comps Data'!L4</f>
        <v>PBYI</v>
      </c>
      <c r="G3" s="202" t="str">
        <f>'Comps Data'!O4</f>
        <v>ASCCY</v>
      </c>
      <c r="H3" s="202" t="str">
        <f>'Comps Data'!R4</f>
        <v>AS</v>
      </c>
      <c r="I3" s="202" t="str">
        <f>'Comps Data'!U4</f>
        <v>CROX</v>
      </c>
      <c r="J3" s="202" t="str">
        <f>'Comps Data'!X4</f>
        <v>DECK</v>
      </c>
      <c r="K3" s="202" t="str">
        <f>'Comps Data'!AA4</f>
        <v>SHOO</v>
      </c>
      <c r="L3" s="202" t="str">
        <f>'Comps Data'!AD4</f>
        <v>SKX</v>
      </c>
      <c r="M3" s="202" t="str">
        <f>'Comps Data'!AG4</f>
        <v>WWW</v>
      </c>
      <c r="N3" s="202" t="str">
        <f>'Comps Data'!AJ4</f>
        <v>LULU</v>
      </c>
      <c r="O3" s="138"/>
      <c r="P3" s="2"/>
    </row>
    <row r="4" spans="2:16" x14ac:dyDescent="0.2">
      <c r="B4" s="203" t="s">
        <v>152</v>
      </c>
      <c r="C4" s="204">
        <f>'Comps Data'!C23</f>
        <v>0.27040537594554603</v>
      </c>
      <c r="D4" s="205">
        <f>'Comps Data'!F23</f>
        <v>0.20559749221702506</v>
      </c>
      <c r="E4" s="205">
        <f>'Comps Data'!I23</f>
        <v>0.10175971945089478</v>
      </c>
      <c r="F4" s="205">
        <f>'Comps Data'!L23</f>
        <v>-3.938739719483432E-2</v>
      </c>
      <c r="G4" s="205">
        <f>'Comps Data'!O23</f>
        <v>0.11632429346113236</v>
      </c>
      <c r="H4" s="205">
        <f>'Comps Data'!R23</f>
        <v>0.14188886585299962</v>
      </c>
      <c r="I4" s="205">
        <f>'Comps Data'!U23</f>
        <v>2.8719029177084594E-2</v>
      </c>
      <c r="J4" s="205">
        <f>'Comps Data'!X23</f>
        <v>9.4291182692745848E-2</v>
      </c>
      <c r="K4" s="205">
        <f>'Comps Data'!AA23</f>
        <v>0.13455823674718104</v>
      </c>
      <c r="L4" s="205">
        <f>'Comps Data'!AD23</f>
        <v>8.9056316061567761E-2</v>
      </c>
      <c r="M4" s="205">
        <f>'Comps Data'!AG23</f>
        <v>4.7096106578049191E-2</v>
      </c>
      <c r="N4" s="205">
        <f>'Comps Data'!AJ23</f>
        <v>0.10196247394926471</v>
      </c>
      <c r="O4" s="138"/>
    </row>
    <row r="5" spans="2:16" x14ac:dyDescent="0.2">
      <c r="B5" s="206" t="s">
        <v>153</v>
      </c>
      <c r="C5" s="207">
        <f>'Comps Data'!C24</f>
        <v>0.60633449794926331</v>
      </c>
      <c r="D5" s="208">
        <f>'Comps Data'!F24</f>
        <v>0.58698348132347833</v>
      </c>
      <c r="E5" s="208">
        <f>'Comps Data'!I24</f>
        <v>0.50774989558816064</v>
      </c>
      <c r="F5" s="208">
        <f>'Comps Data'!L24</f>
        <v>0.7206073752711496</v>
      </c>
      <c r="G5" s="208">
        <f>'Comps Data'!O24</f>
        <v>0.55838854313056285</v>
      </c>
      <c r="H5" s="208">
        <f>'Comps Data'!R24</f>
        <v>0.55284552845528456</v>
      </c>
      <c r="I5" s="208">
        <f>'Comps Data'!U24</f>
        <v>0.58835718290631622</v>
      </c>
      <c r="J5" s="208">
        <f>'Comps Data'!X24</f>
        <v>0.57791047201234869</v>
      </c>
      <c r="K5" s="208">
        <f>'Comps Data'!AA24</f>
        <v>0.41039905383503433</v>
      </c>
      <c r="L5" s="208">
        <f>'Comps Data'!AD24</f>
        <v>0.53151827324012757</v>
      </c>
      <c r="M5" s="208">
        <f>'Comps Data'!AG24</f>
        <v>0.44529914529914527</v>
      </c>
      <c r="N5" s="208">
        <f>'Comps Data'!AJ24</f>
        <v>0.58853629551057285</v>
      </c>
      <c r="O5" s="138"/>
    </row>
    <row r="6" spans="2:16" x14ac:dyDescent="0.2">
      <c r="B6" s="206" t="s">
        <v>6</v>
      </c>
      <c r="C6" s="207">
        <f>'Comps Data'!C25</f>
        <v>0.13644994683275105</v>
      </c>
      <c r="D6" s="208">
        <f>'Comps Data'!F25</f>
        <v>3.2094845974502705E-2</v>
      </c>
      <c r="E6" s="208">
        <f>'Comps Data'!I25</f>
        <v>0.10991151340569952</v>
      </c>
      <c r="F6" s="208">
        <f>'Comps Data'!L25</f>
        <v>0.19783080260303687</v>
      </c>
      <c r="G6" s="208">
        <f>'Comps Data'!O25</f>
        <v>0.18026277632782353</v>
      </c>
      <c r="H6" s="208">
        <f>'Comps Data'!R25</f>
        <v>0.15975609756097561</v>
      </c>
      <c r="I6" s="208">
        <f>'Comps Data'!U25</f>
        <v>0.2880232076253626</v>
      </c>
      <c r="J6" s="208">
        <f>'Comps Data'!X25</f>
        <v>0.24900479324071814</v>
      </c>
      <c r="K6" s="208">
        <f>'Comps Data'!AA25</f>
        <v>0.14118007797100179</v>
      </c>
      <c r="L6" s="208">
        <f>'Comps Data'!AD25</f>
        <v>0.12440074029478003</v>
      </c>
      <c r="M6" s="208">
        <f>'Comps Data'!AG25</f>
        <v>8.3190883190883191E-2</v>
      </c>
      <c r="N6" s="208">
        <f>'Comps Data'!AJ25</f>
        <v>0.28169166249251104</v>
      </c>
      <c r="O6" s="138"/>
    </row>
    <row r="7" spans="2:16" x14ac:dyDescent="0.2">
      <c r="B7" s="206" t="s">
        <v>10</v>
      </c>
      <c r="C7" s="207">
        <f>'Comps Data'!C26</f>
        <v>9.1485644842776853E-2</v>
      </c>
      <c r="D7" s="208">
        <f>'Comps Data'!F26</f>
        <v>0.26191775385683813</v>
      </c>
      <c r="E7" s="208">
        <f>'Comps Data'!I26</f>
        <v>6.0812577820973705E-2</v>
      </c>
      <c r="F7" s="208">
        <f>'Comps Data'!L26</f>
        <v>0.13449023861171366</v>
      </c>
      <c r="G7" s="208">
        <f>'Comps Data'!O26</f>
        <v>0.14811840549644203</v>
      </c>
      <c r="H7" s="208">
        <f>'Comps Data'!R26</f>
        <v>0.106755710414247</v>
      </c>
      <c r="I7" s="208">
        <f>'Comps Data'!U26</f>
        <v>0.25572267862801978</v>
      </c>
      <c r="J7" s="208">
        <f>'Comps Data'!X26</f>
        <v>0.2348078641644325</v>
      </c>
      <c r="K7" s="208">
        <f>'Comps Data'!AA26</f>
        <v>0.11664987515878926</v>
      </c>
      <c r="L7" s="208">
        <f>'Comps Data'!AD26</f>
        <v>0.10082056770798492</v>
      </c>
      <c r="M7" s="208">
        <f>'Comps Data'!AG26</f>
        <v>5.6923076923076923E-2</v>
      </c>
      <c r="N7" s="208">
        <f>'Comps Data'!AJ26</f>
        <v>0.24081440231002679</v>
      </c>
      <c r="O7" s="138"/>
    </row>
    <row r="8" spans="2:16" x14ac:dyDescent="0.2">
      <c r="B8" s="206" t="s">
        <v>154</v>
      </c>
      <c r="C8" s="207">
        <f>'Comps Data'!C27</f>
        <v>0.21373234087801915</v>
      </c>
      <c r="D8" s="208">
        <f>'Comps Data'!F27</f>
        <v>0.20502009028225607</v>
      </c>
      <c r="E8" s="208">
        <f>'Comps Data'!I27</f>
        <v>0.11611767507035602</v>
      </c>
      <c r="F8" s="208">
        <f>'Comps Data'!L27</f>
        <v>0.16876355748373101</v>
      </c>
      <c r="G8" s="208">
        <f>'Comps Data'!O27</f>
        <v>0.15418590644448907</v>
      </c>
      <c r="H8" s="208">
        <f>'Comps Data'!R27</f>
        <v>8.2210607820363921E-2</v>
      </c>
      <c r="I8" s="208">
        <f>'Comps Data'!U27</f>
        <v>0.24194924550839811</v>
      </c>
      <c r="J8" s="208">
        <f>'Comps Data'!X27</f>
        <v>0.221139003980827</v>
      </c>
      <c r="K8" s="208">
        <f>'Comps Data'!AA27</f>
        <v>8.6775592448201849E-2</v>
      </c>
      <c r="L8" s="208">
        <f>'Comps Data'!AD27</f>
        <v>7.6638348161526967E-2</v>
      </c>
      <c r="M8" s="208">
        <f>'Comps Data'!AG27</f>
        <v>0.10262108262108262</v>
      </c>
      <c r="N8" s="208">
        <f>'Comps Data'!AJ27</f>
        <v>0.22151507115707592</v>
      </c>
      <c r="O8" s="138"/>
    </row>
    <row r="9" spans="2:16" ht="16" thickBot="1" x14ac:dyDescent="0.25">
      <c r="B9" s="209" t="s">
        <v>155</v>
      </c>
      <c r="C9" s="210">
        <f>'Comps Data'!C28</f>
        <v>0.18764241227403922</v>
      </c>
      <c r="D9" s="211">
        <f>'Comps Data'!F28</f>
        <v>0.1717843146981497</v>
      </c>
      <c r="E9" s="211">
        <f>'Comps Data'!I28</f>
        <v>0.10572723333996885</v>
      </c>
      <c r="F9" s="211">
        <f>'Comps Data'!L28</f>
        <v>0.16876355748373101</v>
      </c>
      <c r="G9" s="211">
        <f>'Comps Data'!O28</f>
        <v>0.13741105088224143</v>
      </c>
      <c r="H9" s="211">
        <f>'Comps Data'!R28</f>
        <v>3.7862950058072005E-2</v>
      </c>
      <c r="I9" s="211">
        <f>'Comps Data'!U28</f>
        <v>0.22503108164111063</v>
      </c>
      <c r="J9" s="211">
        <f>'Comps Data'!X28</f>
        <v>0.20387521325859126</v>
      </c>
      <c r="K9" s="211">
        <f>'Comps Data'!AA28</f>
        <v>7.5430373647553547E-2</v>
      </c>
      <c r="L9" s="211">
        <f>'Comps Data'!AD28</f>
        <v>3.0169242089771894E-2</v>
      </c>
      <c r="M9" s="211">
        <f>'Comps Data'!AG28</f>
        <v>9.1111111111111115E-2</v>
      </c>
      <c r="N9" s="211">
        <f>'Comps Data'!AJ28</f>
        <v>0.15662413938733216</v>
      </c>
      <c r="O9" s="138"/>
    </row>
    <row r="10" spans="2:16" ht="16" thickBot="1" x14ac:dyDescent="0.25">
      <c r="B10" s="229"/>
      <c r="C10" s="22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</row>
    <row r="11" spans="2:16" ht="16" thickBot="1" x14ac:dyDescent="0.25">
      <c r="B11" s="236" t="s">
        <v>159</v>
      </c>
      <c r="C11" s="233">
        <f>'Comps Data'!C30</f>
        <v>2.5048169556840076E-2</v>
      </c>
      <c r="D11" s="234">
        <f>'Comps Data'!F30</f>
        <v>0.15308764940239045</v>
      </c>
      <c r="E11" s="234">
        <f>'Comps Data'!I30</f>
        <v>0.12006177046858883</v>
      </c>
      <c r="F11" s="234">
        <f>'Comps Data'!L30</f>
        <v>0.30900750625521267</v>
      </c>
      <c r="G11" s="234">
        <f>'Comps Data'!O30</f>
        <v>4.520418314609468E-2</v>
      </c>
      <c r="H11" s="234">
        <f>'Comps Data'!R30</f>
        <v>8.4060665140214458E-2</v>
      </c>
      <c r="I11" s="234">
        <f>'Comps Data'!U30</f>
        <v>0.2235552285091062</v>
      </c>
      <c r="J11" s="234">
        <f>'Comps Data'!AA30</f>
        <v>7.7870521172638443E-2</v>
      </c>
      <c r="K11" s="234">
        <f>'Comps Data'!AA30</f>
        <v>7.7870521172638443E-2</v>
      </c>
      <c r="L11" s="234">
        <f>'Comps Data'!AD30</f>
        <v>0.18425199858642394</v>
      </c>
      <c r="M11" s="234">
        <f>'Comps Data'!AG30</f>
        <v>0.41657527808240641</v>
      </c>
      <c r="N11" s="235">
        <f>'Comps Data'!AJ30</f>
        <v>3.4158345950314244E-2</v>
      </c>
    </row>
    <row r="12" spans="2:16" x14ac:dyDescent="0.2"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</row>
    <row r="13" spans="2:16" x14ac:dyDescent="0.2">
      <c r="B13" s="212" t="s">
        <v>158</v>
      </c>
      <c r="C13" s="213" t="s">
        <v>118</v>
      </c>
      <c r="D13" s="202" t="s">
        <v>121</v>
      </c>
      <c r="E13" s="202" t="s">
        <v>124</v>
      </c>
      <c r="F13" s="202" t="s">
        <v>123</v>
      </c>
      <c r="G13" s="202" t="s">
        <v>46</v>
      </c>
      <c r="H13" s="202" t="s">
        <v>117</v>
      </c>
      <c r="I13" s="202" t="s">
        <v>49</v>
      </c>
      <c r="J13" s="202" t="s">
        <v>119</v>
      </c>
      <c r="K13" s="202" t="s">
        <v>122</v>
      </c>
      <c r="L13" s="202" t="s">
        <v>120</v>
      </c>
      <c r="M13" s="202" t="s">
        <v>116</v>
      </c>
      <c r="N13" s="239" t="s">
        <v>115</v>
      </c>
    </row>
    <row r="14" spans="2:16" ht="16" thickBot="1" x14ac:dyDescent="0.25">
      <c r="B14" s="214" t="s">
        <v>152</v>
      </c>
      <c r="C14" s="215">
        <f t="shared" ref="C14:N14" si="0">IFERROR(INDEX($C$4:$N$9,MATCH($B14,$B$4:$B$9,0),MATCH(C13,$C$3:$N$3,0)),"")</f>
        <v>-3.938739719483432E-2</v>
      </c>
      <c r="D14" s="215">
        <f t="shared" si="0"/>
        <v>2.8719029177084594E-2</v>
      </c>
      <c r="E14" s="215">
        <f t="shared" si="0"/>
        <v>4.7096106578049191E-2</v>
      </c>
      <c r="F14" s="215">
        <f t="shared" si="0"/>
        <v>8.9056316061567761E-2</v>
      </c>
      <c r="G14" s="215">
        <f t="shared" si="0"/>
        <v>9.4291182692745848E-2</v>
      </c>
      <c r="H14" s="215">
        <f t="shared" si="0"/>
        <v>0.10175971945089478</v>
      </c>
      <c r="I14" s="215">
        <f t="shared" si="0"/>
        <v>0.10196247394926471</v>
      </c>
      <c r="J14" s="215">
        <f t="shared" si="0"/>
        <v>0.11632429346113236</v>
      </c>
      <c r="K14" s="244">
        <f t="shared" si="0"/>
        <v>0.13455823674718104</v>
      </c>
      <c r="L14" s="244">
        <f t="shared" si="0"/>
        <v>0.14188886585299962</v>
      </c>
      <c r="M14" s="244">
        <f t="shared" si="0"/>
        <v>0.20559749221702506</v>
      </c>
      <c r="N14" s="240">
        <f t="shared" si="0"/>
        <v>0.27040537594554603</v>
      </c>
    </row>
    <row r="15" spans="2:16" x14ac:dyDescent="0.2">
      <c r="B15" s="199"/>
      <c r="C15" s="199"/>
      <c r="D15" s="199"/>
      <c r="E15" s="216"/>
      <c r="F15" s="216"/>
      <c r="G15" s="216"/>
      <c r="H15" s="216"/>
      <c r="I15" s="216"/>
      <c r="J15" s="216"/>
      <c r="K15" s="216"/>
      <c r="L15" s="216"/>
      <c r="M15" s="216"/>
      <c r="N15" s="216"/>
    </row>
    <row r="16" spans="2:16" x14ac:dyDescent="0.2">
      <c r="B16" s="217" t="s">
        <v>158</v>
      </c>
      <c r="C16" s="213" t="s">
        <v>122</v>
      </c>
      <c r="D16" s="202" t="s">
        <v>124</v>
      </c>
      <c r="E16" s="202" t="s">
        <v>117</v>
      </c>
      <c r="F16" s="202" t="s">
        <v>123</v>
      </c>
      <c r="G16" s="202" t="s">
        <v>120</v>
      </c>
      <c r="H16" s="202" t="s">
        <v>119</v>
      </c>
      <c r="I16" s="202" t="s">
        <v>46</v>
      </c>
      <c r="J16" s="202" t="s">
        <v>116</v>
      </c>
      <c r="K16" s="202" t="s">
        <v>121</v>
      </c>
      <c r="L16" s="202" t="s">
        <v>49</v>
      </c>
      <c r="M16" s="241" t="s">
        <v>115</v>
      </c>
      <c r="N16" s="226" t="s">
        <v>118</v>
      </c>
    </row>
    <row r="17" spans="2:15" ht="16" thickBot="1" x14ac:dyDescent="0.25">
      <c r="B17" s="214" t="s">
        <v>153</v>
      </c>
      <c r="C17" s="328">
        <f t="shared" ref="C17:N17" si="1">IFERROR(INDEX($C$4:$N$9,MATCH($B17,$B$4:$B$9,0),MATCH(C16,$C$3:$N$3,0)),"")</f>
        <v>0.41039905383503433</v>
      </c>
      <c r="D17" s="237">
        <f t="shared" si="1"/>
        <v>0.44529914529914527</v>
      </c>
      <c r="E17" s="215">
        <f t="shared" si="1"/>
        <v>0.50774989558816064</v>
      </c>
      <c r="F17" s="237">
        <f t="shared" si="1"/>
        <v>0.53151827324012757</v>
      </c>
      <c r="G17" s="245">
        <f t="shared" si="1"/>
        <v>0.55284552845528456</v>
      </c>
      <c r="H17" s="245">
        <f t="shared" si="1"/>
        <v>0.55838854313056285</v>
      </c>
      <c r="I17" s="245">
        <f t="shared" si="1"/>
        <v>0.57791047201234869</v>
      </c>
      <c r="J17" s="244">
        <f t="shared" si="1"/>
        <v>0.58698348132347833</v>
      </c>
      <c r="K17" s="245">
        <f t="shared" si="1"/>
        <v>0.58835718290631622</v>
      </c>
      <c r="L17" s="245">
        <f t="shared" si="1"/>
        <v>0.58853629551057285</v>
      </c>
      <c r="M17" s="238">
        <f t="shared" si="1"/>
        <v>0.60633449794926331</v>
      </c>
      <c r="N17" s="227">
        <f t="shared" si="1"/>
        <v>0.7206073752711496</v>
      </c>
    </row>
    <row r="18" spans="2:15" x14ac:dyDescent="0.2">
      <c r="B18" s="199"/>
      <c r="C18" s="199"/>
      <c r="D18" s="199"/>
      <c r="E18" s="199"/>
      <c r="F18" s="199"/>
      <c r="G18" s="218"/>
      <c r="H18" s="199"/>
      <c r="I18" s="199"/>
      <c r="J18" s="219"/>
      <c r="K18" s="199"/>
      <c r="L18" s="199"/>
      <c r="M18" s="199"/>
      <c r="N18" s="199"/>
    </row>
    <row r="19" spans="2:15" x14ac:dyDescent="0.2">
      <c r="B19" s="220" t="s">
        <v>158</v>
      </c>
      <c r="C19" s="213" t="s">
        <v>116</v>
      </c>
      <c r="D19" s="202" t="s">
        <v>124</v>
      </c>
      <c r="E19" s="202" t="s">
        <v>117</v>
      </c>
      <c r="F19" s="202" t="s">
        <v>123</v>
      </c>
      <c r="G19" s="391" t="s">
        <v>115</v>
      </c>
      <c r="H19" s="202" t="s">
        <v>122</v>
      </c>
      <c r="I19" s="202" t="s">
        <v>120</v>
      </c>
      <c r="J19" s="202" t="s">
        <v>119</v>
      </c>
      <c r="K19" s="242" t="s">
        <v>118</v>
      </c>
      <c r="L19" s="202" t="s">
        <v>46</v>
      </c>
      <c r="M19" s="202" t="s">
        <v>49</v>
      </c>
      <c r="N19" s="226" t="s">
        <v>121</v>
      </c>
      <c r="O19" s="357"/>
    </row>
    <row r="20" spans="2:15" ht="16" thickBot="1" x14ac:dyDescent="0.25">
      <c r="B20" s="214" t="s">
        <v>6</v>
      </c>
      <c r="C20" s="237">
        <f t="shared" ref="C20:N20" si="2">IFERROR(INDEX($C$4:$N$9,MATCH($B20,$B$4:$B$9,0),MATCH(C19,$C$3:$N$3,0)),"")</f>
        <v>3.2094845974502705E-2</v>
      </c>
      <c r="D20" s="215">
        <f t="shared" si="2"/>
        <v>8.3190883190883191E-2</v>
      </c>
      <c r="E20" s="245">
        <f t="shared" si="2"/>
        <v>0.10991151340569952</v>
      </c>
      <c r="F20" s="245">
        <f t="shared" si="2"/>
        <v>0.12440074029478003</v>
      </c>
      <c r="G20" s="392">
        <f t="shared" si="2"/>
        <v>0.13644994683275105</v>
      </c>
      <c r="H20" s="244">
        <f t="shared" si="2"/>
        <v>0.14118007797100179</v>
      </c>
      <c r="I20" s="245">
        <f t="shared" si="2"/>
        <v>0.15975609756097561</v>
      </c>
      <c r="J20" s="245">
        <f t="shared" si="2"/>
        <v>0.18026277632782353</v>
      </c>
      <c r="K20" s="237">
        <f t="shared" si="2"/>
        <v>0.19783080260303687</v>
      </c>
      <c r="L20" s="215">
        <f t="shared" si="2"/>
        <v>0.24900479324071814</v>
      </c>
      <c r="M20" s="215">
        <f t="shared" si="2"/>
        <v>0.28169166249251104</v>
      </c>
      <c r="N20" s="390">
        <f t="shared" si="2"/>
        <v>0.2880232076253626</v>
      </c>
    </row>
    <row r="21" spans="2:15" x14ac:dyDescent="0.2"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</row>
    <row r="22" spans="2:15" x14ac:dyDescent="0.2">
      <c r="B22" s="220" t="s">
        <v>158</v>
      </c>
      <c r="C22" s="213" t="s">
        <v>124</v>
      </c>
      <c r="D22" s="202" t="s">
        <v>117</v>
      </c>
      <c r="E22" s="241" t="s">
        <v>115</v>
      </c>
      <c r="F22" s="202" t="s">
        <v>123</v>
      </c>
      <c r="G22" s="202" t="s">
        <v>120</v>
      </c>
      <c r="H22" s="242" t="s">
        <v>122</v>
      </c>
      <c r="I22" s="202" t="s">
        <v>118</v>
      </c>
      <c r="J22" s="202" t="s">
        <v>119</v>
      </c>
      <c r="K22" s="202" t="s">
        <v>46</v>
      </c>
      <c r="L22" s="202" t="s">
        <v>49</v>
      </c>
      <c r="M22" s="202" t="s">
        <v>121</v>
      </c>
      <c r="N22" s="226" t="s">
        <v>116</v>
      </c>
    </row>
    <row r="23" spans="2:15" ht="16" thickBot="1" x14ac:dyDescent="0.25">
      <c r="B23" s="214" t="s">
        <v>10</v>
      </c>
      <c r="C23" s="244">
        <f t="shared" ref="C23:N23" si="3">IFERROR(INDEX($C$4:$N$9,MATCH($B23,$B$4:$B$9,0),MATCH(C22,$C$3:$N$3,0)),"")</f>
        <v>5.6923076923076923E-2</v>
      </c>
      <c r="D23" s="244">
        <f t="shared" si="3"/>
        <v>6.0812577820973705E-2</v>
      </c>
      <c r="E23" s="238">
        <f t="shared" si="3"/>
        <v>9.1485644842776853E-2</v>
      </c>
      <c r="F23" s="244">
        <f t="shared" si="3"/>
        <v>0.10082056770798492</v>
      </c>
      <c r="G23" s="244">
        <f t="shared" si="3"/>
        <v>0.106755710414247</v>
      </c>
      <c r="H23" s="244">
        <f t="shared" si="3"/>
        <v>0.11664987515878926</v>
      </c>
      <c r="I23" s="244">
        <f t="shared" si="3"/>
        <v>0.13449023861171366</v>
      </c>
      <c r="J23" s="244">
        <f t="shared" si="3"/>
        <v>0.14811840549644203</v>
      </c>
      <c r="K23" s="215">
        <f t="shared" si="3"/>
        <v>0.2348078641644325</v>
      </c>
      <c r="L23" s="215">
        <f t="shared" si="3"/>
        <v>0.24081440231002679</v>
      </c>
      <c r="M23" s="215">
        <f t="shared" si="3"/>
        <v>0.25572267862801978</v>
      </c>
      <c r="N23" s="227">
        <f t="shared" si="3"/>
        <v>0.26191775385683813</v>
      </c>
    </row>
    <row r="24" spans="2:15" x14ac:dyDescent="0.2"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</row>
    <row r="25" spans="2:15" x14ac:dyDescent="0.2">
      <c r="B25" s="220" t="s">
        <v>158</v>
      </c>
      <c r="C25" s="213" t="s">
        <v>123</v>
      </c>
      <c r="D25" s="202" t="s">
        <v>120</v>
      </c>
      <c r="E25" s="202" t="s">
        <v>122</v>
      </c>
      <c r="F25" s="202" t="s">
        <v>124</v>
      </c>
      <c r="G25" s="202" t="s">
        <v>117</v>
      </c>
      <c r="H25" s="202" t="s">
        <v>119</v>
      </c>
      <c r="I25" s="202" t="s">
        <v>118</v>
      </c>
      <c r="J25" s="202" t="s">
        <v>116</v>
      </c>
      <c r="K25" s="241" t="s">
        <v>115</v>
      </c>
      <c r="L25" s="202" t="s">
        <v>46</v>
      </c>
      <c r="M25" s="202" t="s">
        <v>49</v>
      </c>
      <c r="N25" s="226" t="s">
        <v>121</v>
      </c>
    </row>
    <row r="26" spans="2:15" ht="16" thickBot="1" x14ac:dyDescent="0.25">
      <c r="B26" s="214" t="s">
        <v>154</v>
      </c>
      <c r="C26" s="215">
        <f t="shared" ref="C26:N26" si="4">IFERROR(INDEX($C$4:$N$9,MATCH($B26,$B$4:$B$9,0),MATCH(C25,$C$3:$N$3,0)),"")</f>
        <v>7.6638348161526967E-2</v>
      </c>
      <c r="D26" s="215">
        <f t="shared" si="4"/>
        <v>8.2210607820363921E-2</v>
      </c>
      <c r="E26" s="215">
        <f t="shared" si="4"/>
        <v>8.6775592448201849E-2</v>
      </c>
      <c r="F26" s="215">
        <f t="shared" si="4"/>
        <v>0.10262108262108262</v>
      </c>
      <c r="G26" s="215">
        <f t="shared" si="4"/>
        <v>0.11611767507035602</v>
      </c>
      <c r="H26" s="244">
        <f t="shared" si="4"/>
        <v>0.15418590644448907</v>
      </c>
      <c r="I26" s="244">
        <f t="shared" si="4"/>
        <v>0.16876355748373101</v>
      </c>
      <c r="J26" s="244">
        <f t="shared" si="4"/>
        <v>0.20502009028225607</v>
      </c>
      <c r="K26" s="238">
        <f t="shared" si="4"/>
        <v>0.21373234087801915</v>
      </c>
      <c r="L26" s="244">
        <f t="shared" si="4"/>
        <v>0.221139003980827</v>
      </c>
      <c r="M26" s="244">
        <f t="shared" si="4"/>
        <v>0.22151507115707592</v>
      </c>
      <c r="N26" s="318">
        <f t="shared" si="4"/>
        <v>0.24194924550839811</v>
      </c>
    </row>
    <row r="27" spans="2:15" x14ac:dyDescent="0.2"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</row>
    <row r="28" spans="2:15" x14ac:dyDescent="0.2">
      <c r="B28" s="217" t="s">
        <v>158</v>
      </c>
      <c r="C28" s="213" t="s">
        <v>123</v>
      </c>
      <c r="D28" s="202" t="s">
        <v>120</v>
      </c>
      <c r="E28" s="202" t="s">
        <v>122</v>
      </c>
      <c r="F28" s="202" t="s">
        <v>124</v>
      </c>
      <c r="G28" s="202" t="s">
        <v>117</v>
      </c>
      <c r="H28" s="202" t="s">
        <v>119</v>
      </c>
      <c r="I28" s="202" t="s">
        <v>49</v>
      </c>
      <c r="J28" s="202" t="s">
        <v>118</v>
      </c>
      <c r="K28" s="202" t="s">
        <v>116</v>
      </c>
      <c r="L28" s="241" t="s">
        <v>115</v>
      </c>
      <c r="M28" s="202" t="s">
        <v>46</v>
      </c>
      <c r="N28" s="226" t="s">
        <v>121</v>
      </c>
    </row>
    <row r="29" spans="2:15" ht="16" thickBot="1" x14ac:dyDescent="0.25">
      <c r="B29" s="214" t="s">
        <v>155</v>
      </c>
      <c r="C29" s="215">
        <f t="shared" ref="C29:N29" si="5">IFERROR(INDEX($C$4:$N$9,MATCH($B29,$B$4:$B$9,0),MATCH(C28,$C$3:$N$3,0)),"")</f>
        <v>3.0169242089771894E-2</v>
      </c>
      <c r="D29" s="215">
        <f t="shared" si="5"/>
        <v>3.7862950058072005E-2</v>
      </c>
      <c r="E29" s="215">
        <f t="shared" si="5"/>
        <v>7.5430373647553547E-2</v>
      </c>
      <c r="F29" s="215">
        <f t="shared" si="5"/>
        <v>9.1111111111111115E-2</v>
      </c>
      <c r="G29" s="215">
        <f t="shared" si="5"/>
        <v>0.10572723333996885</v>
      </c>
      <c r="H29" s="244">
        <f t="shared" si="5"/>
        <v>0.13741105088224143</v>
      </c>
      <c r="I29" s="244">
        <f t="shared" si="5"/>
        <v>0.15662413938733216</v>
      </c>
      <c r="J29" s="244">
        <f t="shared" si="5"/>
        <v>0.16876355748373101</v>
      </c>
      <c r="K29" s="244">
        <f t="shared" si="5"/>
        <v>0.1717843146981497</v>
      </c>
      <c r="L29" s="238">
        <f t="shared" si="5"/>
        <v>0.18764241227403922</v>
      </c>
      <c r="M29" s="244">
        <f t="shared" si="5"/>
        <v>0.20387521325859126</v>
      </c>
      <c r="N29" s="318">
        <f t="shared" si="5"/>
        <v>0.22503108164111063</v>
      </c>
    </row>
    <row r="30" spans="2:15" x14ac:dyDescent="0.2"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</row>
    <row r="31" spans="2:15" x14ac:dyDescent="0.2">
      <c r="B31" s="217" t="s">
        <v>158</v>
      </c>
      <c r="C31" s="213" t="s">
        <v>46</v>
      </c>
      <c r="D31" s="202" t="s">
        <v>115</v>
      </c>
      <c r="E31" s="202" t="s">
        <v>49</v>
      </c>
      <c r="F31" s="202" t="s">
        <v>119</v>
      </c>
      <c r="G31" s="202" t="s">
        <v>122</v>
      </c>
      <c r="H31" s="202" t="s">
        <v>120</v>
      </c>
      <c r="I31" s="202" t="s">
        <v>117</v>
      </c>
      <c r="J31" s="202" t="s">
        <v>116</v>
      </c>
      <c r="K31" s="202" t="s">
        <v>123</v>
      </c>
      <c r="L31" s="202" t="s">
        <v>121</v>
      </c>
      <c r="M31" s="202" t="s">
        <v>116</v>
      </c>
      <c r="N31" s="226" t="s">
        <v>124</v>
      </c>
    </row>
    <row r="32" spans="2:15" ht="16" thickBot="1" x14ac:dyDescent="0.25">
      <c r="B32" s="214" t="s">
        <v>159</v>
      </c>
      <c r="C32" s="245">
        <v>1.464126433818084E-2</v>
      </c>
      <c r="D32" s="243">
        <v>2.5529706697071358E-2</v>
      </c>
      <c r="E32" s="245">
        <v>3.4158345950314244E-2</v>
      </c>
      <c r="F32" s="245">
        <v>4.7104216068485992E-2</v>
      </c>
      <c r="G32" s="245">
        <v>4.948893776685212E-2</v>
      </c>
      <c r="H32" s="245">
        <v>8.4060665140214499E-2</v>
      </c>
      <c r="I32" s="237">
        <v>0.12487407472296438</v>
      </c>
      <c r="J32" s="237">
        <v>0.15272392937058291</v>
      </c>
      <c r="K32" s="237">
        <v>0.18425199858642394</v>
      </c>
      <c r="L32" s="237">
        <v>0.2235552285091062</v>
      </c>
      <c r="M32" s="237">
        <v>0.30900750625521267</v>
      </c>
      <c r="N32" s="390">
        <v>0.41657527808240641</v>
      </c>
      <c r="O32" s="357"/>
    </row>
    <row r="33" spans="2:14" ht="16" thickBot="1" x14ac:dyDescent="0.25"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</row>
    <row r="34" spans="2:14" ht="16" thickBot="1" x14ac:dyDescent="0.25">
      <c r="B34" s="230" t="s">
        <v>160</v>
      </c>
      <c r="C34" s="231"/>
      <c r="D34" s="231"/>
      <c r="E34" s="232"/>
      <c r="F34" s="199"/>
      <c r="G34" s="199"/>
      <c r="H34" s="199"/>
      <c r="I34" s="199"/>
      <c r="J34" s="199"/>
      <c r="K34" s="199"/>
      <c r="L34" s="199"/>
      <c r="M34" s="199"/>
      <c r="N34" s="199"/>
    </row>
    <row r="35" spans="2:14" x14ac:dyDescent="0.2"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</row>
    <row r="36" spans="2:14" x14ac:dyDescent="0.2">
      <c r="B36" s="221"/>
      <c r="C36" s="246" t="s">
        <v>124</v>
      </c>
      <c r="D36" s="202" t="s">
        <v>117</v>
      </c>
      <c r="E36" s="202" t="s">
        <v>118</v>
      </c>
      <c r="F36" s="202" t="s">
        <v>121</v>
      </c>
      <c r="G36" s="202" t="s">
        <v>123</v>
      </c>
      <c r="H36" s="202" t="s">
        <v>116</v>
      </c>
      <c r="I36" s="202" t="s">
        <v>119</v>
      </c>
      <c r="J36" s="202" t="s">
        <v>46</v>
      </c>
      <c r="K36" s="202" t="s">
        <v>122</v>
      </c>
      <c r="L36" s="202" t="s">
        <v>49</v>
      </c>
      <c r="M36" s="202" t="s">
        <v>120</v>
      </c>
      <c r="N36" s="226" t="s">
        <v>115</v>
      </c>
    </row>
    <row r="37" spans="2:14" ht="16" thickBot="1" x14ac:dyDescent="0.25">
      <c r="B37" s="221"/>
      <c r="C37" s="247">
        <v>1</v>
      </c>
      <c r="D37" s="223">
        <v>2</v>
      </c>
      <c r="E37" s="223">
        <v>3</v>
      </c>
      <c r="F37" s="223">
        <v>3</v>
      </c>
      <c r="G37" s="223">
        <v>3</v>
      </c>
      <c r="H37" s="248">
        <v>4</v>
      </c>
      <c r="I37" s="248">
        <v>4</v>
      </c>
      <c r="J37" s="316">
        <v>4</v>
      </c>
      <c r="K37" s="248">
        <v>4</v>
      </c>
      <c r="L37" s="248">
        <v>4</v>
      </c>
      <c r="M37" s="248">
        <v>5</v>
      </c>
      <c r="N37" s="317">
        <v>7</v>
      </c>
    </row>
    <row r="38" spans="2:14" x14ac:dyDescent="0.2">
      <c r="B38" s="199"/>
      <c r="C38" s="224"/>
      <c r="D38" s="224"/>
      <c r="E38" s="224"/>
      <c r="F38" s="224"/>
      <c r="G38" s="224"/>
      <c r="H38" s="224"/>
      <c r="I38" s="224"/>
      <c r="J38" s="199"/>
      <c r="K38" s="224"/>
      <c r="L38" s="224"/>
      <c r="M38" s="199"/>
      <c r="N38" s="224"/>
    </row>
    <row r="39" spans="2:14" x14ac:dyDescent="0.2">
      <c r="B39" s="199"/>
      <c r="C39" s="199"/>
      <c r="D39" s="199"/>
      <c r="E39" s="199"/>
      <c r="F39" s="199"/>
      <c r="G39" s="199"/>
      <c r="H39" s="199"/>
      <c r="I39" s="199"/>
      <c r="K39" s="199"/>
      <c r="L39" s="199"/>
      <c r="M39" s="199"/>
      <c r="N39" s="199"/>
    </row>
    <row r="40" spans="2:14" ht="16" thickBot="1" x14ac:dyDescent="0.25">
      <c r="B40" s="486" t="s">
        <v>161</v>
      </c>
      <c r="C40" s="487"/>
      <c r="D40" s="487"/>
      <c r="E40" s="488"/>
      <c r="F40" s="199"/>
      <c r="G40" s="199"/>
      <c r="H40" s="199"/>
      <c r="I40" s="199"/>
      <c r="J40" s="199"/>
      <c r="K40" s="199"/>
      <c r="L40" s="199"/>
      <c r="M40" s="199"/>
      <c r="N40" s="199"/>
    </row>
    <row r="41" spans="2:14" ht="16" thickBot="1" x14ac:dyDescent="0.25"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</row>
    <row r="42" spans="2:14" x14ac:dyDescent="0.2">
      <c r="B42" s="199"/>
      <c r="C42" s="249" t="s">
        <v>116</v>
      </c>
      <c r="D42" s="250" t="s">
        <v>119</v>
      </c>
      <c r="E42" s="250" t="s">
        <v>46</v>
      </c>
      <c r="F42" s="250" t="s">
        <v>122</v>
      </c>
      <c r="G42" s="250" t="s">
        <v>49</v>
      </c>
      <c r="H42" s="250" t="s">
        <v>120</v>
      </c>
      <c r="I42" s="251" t="s">
        <v>115</v>
      </c>
      <c r="J42" s="199"/>
      <c r="K42" s="199"/>
      <c r="L42" s="199"/>
      <c r="M42" s="199"/>
      <c r="N42" s="199"/>
    </row>
    <row r="43" spans="2:14" ht="16" thickBot="1" x14ac:dyDescent="0.25">
      <c r="B43" s="199"/>
      <c r="C43" s="222">
        <v>4</v>
      </c>
      <c r="D43" s="223">
        <v>4</v>
      </c>
      <c r="E43" s="223">
        <v>4</v>
      </c>
      <c r="F43" s="223">
        <v>4</v>
      </c>
      <c r="G43" s="223">
        <v>4</v>
      </c>
      <c r="H43" s="223">
        <v>5</v>
      </c>
      <c r="I43" s="225">
        <v>7</v>
      </c>
      <c r="J43" s="199"/>
      <c r="K43" s="199"/>
      <c r="L43" s="199"/>
      <c r="M43" s="199"/>
      <c r="N43" s="199"/>
    </row>
    <row r="53" spans="2:14" x14ac:dyDescent="0.2"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</row>
  </sheetData>
  <sortState xmlns:xlrd2="http://schemas.microsoft.com/office/spreadsheetml/2017/richdata2" columnSort="1" ref="C19:N20">
    <sortCondition ref="C20:N20"/>
  </sortState>
  <mergeCells count="2">
    <mergeCell ref="B1:N1"/>
    <mergeCell ref="B40:E4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9CC6C-2788-4BB5-A80D-9B3D6665AD02}">
  <sheetPr>
    <tabColor rgb="FF00B0F0"/>
  </sheetPr>
  <dimension ref="B1:AC47"/>
  <sheetViews>
    <sheetView showGridLines="0" zoomScale="89" zoomScaleNormal="85" workbookViewId="0">
      <selection activeCell="R38" sqref="R38"/>
    </sheetView>
  </sheetViews>
  <sheetFormatPr baseColWidth="10" defaultColWidth="11.83203125" defaultRowHeight="14" x14ac:dyDescent="0.15"/>
  <cols>
    <col min="1" max="1" width="11.83203125" style="252"/>
    <col min="2" max="3" width="14.83203125" style="252" customWidth="1"/>
    <col min="4" max="4" width="2.83203125" style="252" customWidth="1"/>
    <col min="5" max="9" width="14.83203125" style="252" customWidth="1"/>
    <col min="10" max="10" width="9.83203125" style="252" customWidth="1"/>
    <col min="11" max="14" width="14.83203125" style="252" customWidth="1"/>
    <col min="15" max="15" width="12.33203125" style="252" bestFit="1" customWidth="1"/>
    <col min="16" max="16" width="14.1640625" style="252" bestFit="1" customWidth="1"/>
    <col min="17" max="17" width="10.83203125" style="252" bestFit="1" customWidth="1"/>
    <col min="18" max="20" width="14.83203125" style="252" customWidth="1"/>
    <col min="21" max="27" width="11.83203125" style="252"/>
    <col min="28" max="28" width="18.1640625" style="252" bestFit="1" customWidth="1"/>
    <col min="29" max="29" width="11.33203125" style="252" customWidth="1"/>
    <col min="30" max="16384" width="11.83203125" style="252"/>
  </cols>
  <sheetData>
    <row r="1" spans="2:29" ht="45" x14ac:dyDescent="0.45">
      <c r="B1" s="485" t="s">
        <v>162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</row>
    <row r="3" spans="2:29" ht="16" thickBot="1" x14ac:dyDescent="0.25">
      <c r="C3" s="489" t="s">
        <v>163</v>
      </c>
      <c r="D3" s="489"/>
      <c r="E3" s="489"/>
      <c r="F3" s="490"/>
      <c r="K3" s="489" t="s">
        <v>164</v>
      </c>
      <c r="L3" s="491"/>
      <c r="M3" s="492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2:29" ht="16" thickBot="1" x14ac:dyDescent="0.25">
      <c r="B4" s="253"/>
      <c r="C4" s="253"/>
      <c r="D4" s="253"/>
      <c r="E4" s="253"/>
      <c r="F4" s="253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2:29" ht="16" thickBot="1" x14ac:dyDescent="0.25">
      <c r="C5" s="379" t="s">
        <v>115</v>
      </c>
      <c r="E5" s="442" t="s">
        <v>116</v>
      </c>
      <c r="F5" s="443" t="s">
        <v>120</v>
      </c>
      <c r="G5" s="444" t="s">
        <v>46</v>
      </c>
      <c r="H5" s="444" t="s">
        <v>119</v>
      </c>
      <c r="J5" s="324" t="s">
        <v>165</v>
      </c>
      <c r="K5" s="323" t="s">
        <v>166</v>
      </c>
      <c r="L5" s="325" t="s">
        <v>167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">
      <c r="B6" s="256" t="s">
        <v>168</v>
      </c>
      <c r="C6" s="319">
        <v>48.76</v>
      </c>
      <c r="E6" s="257">
        <v>34.020000000000003</v>
      </c>
      <c r="F6" s="258">
        <v>85.38</v>
      </c>
      <c r="G6" s="259">
        <v>19</v>
      </c>
      <c r="H6" s="259">
        <v>36.69</v>
      </c>
      <c r="I6" s="260" t="s">
        <v>168</v>
      </c>
      <c r="J6" s="261">
        <f>IFERROR(AVERAGE(E6:H6),"")</f>
        <v>43.772500000000001</v>
      </c>
      <c r="K6" s="262">
        <f>IFERROR(MEDIAN(E6:H6),"")</f>
        <v>35.355000000000004</v>
      </c>
      <c r="L6" s="355">
        <f>IFERROR(ABS((J6-K6)/J6),"")</f>
        <v>0.19230110229025066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">
      <c r="B7" s="256" t="s">
        <v>169</v>
      </c>
      <c r="C7" s="319">
        <v>8.48</v>
      </c>
      <c r="E7" s="264">
        <v>2.88</v>
      </c>
      <c r="F7" s="262">
        <v>3.23</v>
      </c>
      <c r="G7" s="265">
        <v>6.8</v>
      </c>
      <c r="H7" s="265">
        <v>9.9</v>
      </c>
      <c r="I7" s="260" t="s">
        <v>170</v>
      </c>
      <c r="J7" s="261">
        <f>IFERROR(AVERAGE(E7:H7),"")</f>
        <v>5.7025000000000006</v>
      </c>
      <c r="K7" s="262">
        <f>IFERROR(MEDIAN(E7:H7),"")</f>
        <v>5.0149999999999997</v>
      </c>
      <c r="L7" s="263">
        <f t="shared" ref="L7:L10" si="0">IFERROR(ABS((J7-K7)/J7),"")</f>
        <v>0.12056115738711105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">
      <c r="B8" s="256" t="s">
        <v>171</v>
      </c>
      <c r="C8" s="319">
        <v>8.86</v>
      </c>
      <c r="E8" s="264" t="s">
        <v>172</v>
      </c>
      <c r="F8" s="262">
        <v>57.41</v>
      </c>
      <c r="G8" s="265">
        <v>6.88</v>
      </c>
      <c r="H8" s="265">
        <v>12.33</v>
      </c>
      <c r="I8" s="260" t="s">
        <v>171</v>
      </c>
      <c r="J8" s="261">
        <f>IFERROR(AVERAGE(F8:H8),"")</f>
        <v>25.539999999999996</v>
      </c>
      <c r="K8" s="262">
        <f>IFERROR(MEDIAN(F8:H8),"")</f>
        <v>12.33</v>
      </c>
      <c r="L8" s="263">
        <f t="shared" si="0"/>
        <v>0.51722787783868429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">
      <c r="B9" s="256" t="s">
        <v>173</v>
      </c>
      <c r="C9" s="320">
        <v>23.79</v>
      </c>
      <c r="E9" s="376">
        <v>25.33</v>
      </c>
      <c r="F9" s="262">
        <v>35.049999999999997</v>
      </c>
      <c r="G9" s="265">
        <v>17.420000000000002</v>
      </c>
      <c r="H9" s="265">
        <f>AVERAGE(21.48,23.6)</f>
        <v>22.54</v>
      </c>
      <c r="I9" s="260" t="s">
        <v>173</v>
      </c>
      <c r="J9" s="261">
        <f>IFERROR(AVERAGE(E9:H9),"")</f>
        <v>25.085000000000001</v>
      </c>
      <c r="K9" s="262">
        <f>IFERROR(MEDIAN(E9:H9),"")</f>
        <v>23.934999999999999</v>
      </c>
      <c r="L9" s="355">
        <f>IFERROR(ABS((J9-K9)/J9),"")</f>
        <v>4.5844129958142396E-2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6" thickBot="1" x14ac:dyDescent="0.25">
      <c r="B10" s="256" t="s">
        <v>174</v>
      </c>
      <c r="C10" s="321">
        <v>27.11</v>
      </c>
      <c r="E10" s="268">
        <v>24.76</v>
      </c>
      <c r="F10" s="377">
        <v>76.81</v>
      </c>
      <c r="G10" s="408">
        <v>18.89</v>
      </c>
      <c r="H10" s="378">
        <v>24.1</v>
      </c>
      <c r="I10" s="260" t="s">
        <v>174</v>
      </c>
      <c r="J10" s="268">
        <f>IFERROR(AVERAGE(E10:H10),"")</f>
        <v>36.14</v>
      </c>
      <c r="K10" s="269">
        <f>IFERROR(MEDIAN(E10:H10),"")</f>
        <v>24.43</v>
      </c>
      <c r="L10" s="270">
        <f t="shared" si="0"/>
        <v>0.32401770890979525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">
      <c r="B11" s="27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6" thickBot="1" x14ac:dyDescent="0.25">
      <c r="C12" s="489" t="s">
        <v>175</v>
      </c>
      <c r="D12" s="489"/>
      <c r="E12" s="489"/>
      <c r="F12" s="490"/>
      <c r="H12" s="354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">
      <c r="D13" s="272" t="s">
        <v>115</v>
      </c>
      <c r="R13"/>
      <c r="S13"/>
      <c r="T13"/>
      <c r="U13"/>
      <c r="V13"/>
      <c r="W13"/>
      <c r="X13"/>
      <c r="Y13"/>
      <c r="Z13"/>
      <c r="AA13"/>
      <c r="AB13"/>
      <c r="AC13"/>
    </row>
    <row r="14" spans="2:29" ht="15.75" customHeight="1" thickBot="1" x14ac:dyDescent="0.25">
      <c r="B14" s="260"/>
      <c r="D14" s="260" t="s">
        <v>176</v>
      </c>
      <c r="E14" s="450">
        <v>45657</v>
      </c>
      <c r="F14" s="451" t="s">
        <v>177</v>
      </c>
      <c r="L14" s="273"/>
      <c r="R14"/>
      <c r="S14"/>
      <c r="T14"/>
      <c r="U14"/>
      <c r="V14"/>
      <c r="W14"/>
      <c r="X14"/>
      <c r="Y14"/>
      <c r="Z14"/>
      <c r="AA14"/>
      <c r="AB14"/>
      <c r="AC14"/>
    </row>
    <row r="15" spans="2:29" ht="17" thickBot="1" x14ac:dyDescent="0.25">
      <c r="B15" s="260"/>
      <c r="D15" s="260" t="s">
        <v>178</v>
      </c>
      <c r="E15" s="266">
        <v>5.3</v>
      </c>
      <c r="F15" s="274">
        <v>6.28</v>
      </c>
      <c r="H15" s="496" t="s">
        <v>179</v>
      </c>
      <c r="I15" s="496"/>
      <c r="J15" s="497"/>
      <c r="K15" s="498"/>
      <c r="L15" s="275"/>
      <c r="M15" s="496" t="s">
        <v>179</v>
      </c>
      <c r="N15" s="496"/>
      <c r="O15" s="497"/>
      <c r="P15" s="498"/>
      <c r="R15"/>
      <c r="S15"/>
      <c r="T15"/>
      <c r="U15"/>
      <c r="V15"/>
      <c r="W15"/>
      <c r="X15"/>
      <c r="Y15"/>
      <c r="Z15"/>
      <c r="AA15"/>
      <c r="AB15"/>
      <c r="AC15"/>
    </row>
    <row r="16" spans="2:29" ht="16" x14ac:dyDescent="0.2">
      <c r="B16" s="260"/>
      <c r="C16" s="327"/>
      <c r="D16" s="260" t="s">
        <v>180</v>
      </c>
      <c r="E16" s="266">
        <v>5.08</v>
      </c>
      <c r="F16" s="274" t="s">
        <v>181</v>
      </c>
      <c r="H16" s="276" t="s">
        <v>182</v>
      </c>
      <c r="I16" s="150"/>
      <c r="J16" s="140"/>
      <c r="K16" s="277" t="s">
        <v>173</v>
      </c>
      <c r="L16" s="275"/>
      <c r="M16" s="276" t="s">
        <v>182</v>
      </c>
      <c r="N16" s="150"/>
      <c r="O16" s="140"/>
      <c r="P16" s="277" t="s">
        <v>168</v>
      </c>
      <c r="R16"/>
      <c r="S16"/>
      <c r="T16"/>
      <c r="U16"/>
      <c r="V16"/>
      <c r="W16"/>
      <c r="X16"/>
      <c r="Y16"/>
      <c r="Z16"/>
      <c r="AA16"/>
      <c r="AB16"/>
      <c r="AC16"/>
    </row>
    <row r="17" spans="2:29" ht="16" x14ac:dyDescent="0.2">
      <c r="B17" s="326"/>
      <c r="D17" s="260" t="s">
        <v>183</v>
      </c>
      <c r="E17" s="266">
        <v>0.95</v>
      </c>
      <c r="F17" s="274">
        <v>1.19</v>
      </c>
      <c r="H17" s="276"/>
      <c r="I17" s="150"/>
      <c r="J17" s="140"/>
      <c r="K17" s="277"/>
      <c r="L17" s="275"/>
      <c r="M17" s="276"/>
      <c r="N17" s="150"/>
      <c r="O17" s="140"/>
      <c r="P17" s="277"/>
      <c r="R17"/>
      <c r="S17"/>
      <c r="T17"/>
      <c r="U17"/>
      <c r="V17"/>
      <c r="W17"/>
      <c r="X17"/>
      <c r="Y17"/>
      <c r="Z17"/>
      <c r="AA17"/>
      <c r="AB17"/>
      <c r="AC17"/>
    </row>
    <row r="18" spans="2:29" ht="16" x14ac:dyDescent="0.2">
      <c r="B18" s="353"/>
      <c r="D18" s="260" t="s">
        <v>184</v>
      </c>
      <c r="E18" s="266">
        <v>1.95</v>
      </c>
      <c r="F18" s="274">
        <v>0.82</v>
      </c>
      <c r="H18" s="278" t="s">
        <v>185</v>
      </c>
      <c r="I18" s="279"/>
      <c r="J18" s="279"/>
      <c r="K18" s="280">
        <f>E18</f>
        <v>1.95</v>
      </c>
      <c r="L18" s="275"/>
      <c r="M18" s="278" t="s">
        <v>186</v>
      </c>
      <c r="N18" s="279"/>
      <c r="O18" s="279"/>
      <c r="P18" s="280">
        <f>E17</f>
        <v>0.95</v>
      </c>
      <c r="R18"/>
      <c r="S18"/>
      <c r="T18"/>
      <c r="U18"/>
      <c r="V18"/>
      <c r="W18"/>
      <c r="X18"/>
      <c r="Y18"/>
      <c r="Z18"/>
      <c r="AA18"/>
      <c r="AB18"/>
      <c r="AC18"/>
    </row>
    <row r="19" spans="2:29" ht="17" thickBot="1" x14ac:dyDescent="0.25">
      <c r="B19" s="260"/>
      <c r="C19" s="283"/>
      <c r="D19" s="260" t="s">
        <v>187</v>
      </c>
      <c r="E19" s="267">
        <v>1.71</v>
      </c>
      <c r="F19" s="284" t="s">
        <v>181</v>
      </c>
      <c r="H19" s="281" t="s">
        <v>188</v>
      </c>
      <c r="I19" s="140"/>
      <c r="J19" s="140"/>
      <c r="K19" s="282">
        <f>K9</f>
        <v>23.934999999999999</v>
      </c>
      <c r="L19" s="275"/>
      <c r="M19" s="281" t="s">
        <v>188</v>
      </c>
      <c r="N19" s="140"/>
      <c r="O19" s="140"/>
      <c r="P19" s="282">
        <f>K6</f>
        <v>35.355000000000004</v>
      </c>
      <c r="R19"/>
      <c r="S19"/>
      <c r="T19"/>
      <c r="U19"/>
      <c r="V19"/>
      <c r="W19"/>
      <c r="X19"/>
      <c r="Y19"/>
      <c r="Z19"/>
      <c r="AA19"/>
      <c r="AB19"/>
      <c r="AC19"/>
    </row>
    <row r="20" spans="2:29" ht="17" thickBot="1" x14ac:dyDescent="0.25">
      <c r="B20" s="260"/>
      <c r="C20" s="283"/>
      <c r="H20" s="285" t="s">
        <v>189</v>
      </c>
      <c r="I20" s="286"/>
      <c r="J20" s="286"/>
      <c r="K20" s="356">
        <f>K18*K19</f>
        <v>46.673249999999996</v>
      </c>
      <c r="L20" s="275"/>
      <c r="M20" s="285" t="s">
        <v>189</v>
      </c>
      <c r="N20" s="286"/>
      <c r="O20" s="286"/>
      <c r="P20" s="356">
        <f>P18*P19</f>
        <v>33.587250000000004</v>
      </c>
      <c r="R20"/>
      <c r="S20"/>
      <c r="T20"/>
      <c r="U20"/>
      <c r="V20"/>
      <c r="W20"/>
      <c r="X20"/>
      <c r="Y20"/>
      <c r="Z20"/>
      <c r="AA20"/>
      <c r="AB20"/>
      <c r="AC20"/>
    </row>
    <row r="21" spans="2:29" ht="15" x14ac:dyDescent="0.2">
      <c r="B21" s="260"/>
      <c r="C21" s="287"/>
      <c r="D21" s="287"/>
      <c r="F21"/>
      <c r="G21"/>
      <c r="H21"/>
      <c r="I21"/>
      <c r="J21"/>
      <c r="K21"/>
      <c r="L21"/>
      <c r="R21"/>
      <c r="S21"/>
      <c r="T21"/>
      <c r="U21"/>
      <c r="V21"/>
      <c r="W21"/>
      <c r="X21"/>
      <c r="Y21"/>
      <c r="Z21"/>
      <c r="AA21"/>
      <c r="AB21"/>
      <c r="AC21"/>
    </row>
    <row r="22" spans="2:29" ht="15" x14ac:dyDescent="0.2">
      <c r="B22" s="287"/>
      <c r="E22" s="288"/>
      <c r="F22"/>
      <c r="G22"/>
      <c r="H22"/>
      <c r="I22"/>
      <c r="J22"/>
      <c r="K22"/>
      <c r="L22"/>
      <c r="R22"/>
      <c r="S22"/>
      <c r="T22"/>
      <c r="U22"/>
      <c r="V22"/>
      <c r="W22"/>
      <c r="X22"/>
      <c r="Y22"/>
      <c r="Z22"/>
      <c r="AA22"/>
      <c r="AB22"/>
      <c r="AC22"/>
    </row>
    <row r="23" spans="2:29" ht="15" x14ac:dyDescent="0.2">
      <c r="B23"/>
      <c r="C23"/>
      <c r="D23"/>
      <c r="E23"/>
      <c r="R23"/>
      <c r="S23"/>
      <c r="T23"/>
      <c r="U23"/>
      <c r="V23"/>
      <c r="W23"/>
      <c r="X23"/>
      <c r="Y23"/>
      <c r="Z23"/>
      <c r="AA23"/>
      <c r="AB23"/>
      <c r="AC23"/>
    </row>
    <row r="24" spans="2:29" ht="45" x14ac:dyDescent="0.45">
      <c r="B24" s="485" t="s">
        <v>190</v>
      </c>
      <c r="C24" s="485"/>
      <c r="D24" s="485"/>
      <c r="E24" s="485"/>
      <c r="F24" s="485"/>
      <c r="G24" s="485"/>
      <c r="H24" s="485"/>
      <c r="I24" s="485"/>
      <c r="J24" s="485"/>
      <c r="K24" s="485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/>
      <c r="Z24"/>
      <c r="AA24"/>
      <c r="AB24"/>
      <c r="AC24"/>
    </row>
    <row r="25" spans="2:29" ht="15" x14ac:dyDescent="0.2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2:29" ht="16" thickBot="1" x14ac:dyDescent="0.25">
      <c r="B26"/>
      <c r="C26" s="489" t="s">
        <v>163</v>
      </c>
      <c r="D26" s="489"/>
      <c r="E26" s="489"/>
      <c r="F26" s="490"/>
      <c r="G26"/>
      <c r="H26"/>
      <c r="I26"/>
      <c r="J26"/>
      <c r="K26" s="489" t="s">
        <v>164</v>
      </c>
      <c r="L26" s="491"/>
      <c r="M26" s="49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2:29" ht="16" thickBot="1" x14ac:dyDescent="0.25">
      <c r="B27"/>
      <c r="C27"/>
      <c r="D27"/>
      <c r="E27"/>
      <c r="F27"/>
      <c r="G27"/>
      <c r="H27"/>
      <c r="I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2:29" ht="16" thickBot="1" x14ac:dyDescent="0.25">
      <c r="B28" s="2"/>
      <c r="C28" s="379" t="s">
        <v>115</v>
      </c>
      <c r="D28"/>
      <c r="E28" s="322" t="s">
        <v>116</v>
      </c>
      <c r="F28" s="323" t="s">
        <v>120</v>
      </c>
      <c r="G28" s="323" t="s">
        <v>46</v>
      </c>
      <c r="H28" s="325" t="s">
        <v>119</v>
      </c>
      <c r="J28" s="254" t="s">
        <v>165</v>
      </c>
      <c r="K28" s="289" t="s">
        <v>166</v>
      </c>
      <c r="L28" s="255" t="s">
        <v>167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2:29" ht="15" x14ac:dyDescent="0.2">
      <c r="B29" s="290" t="s">
        <v>191</v>
      </c>
      <c r="C29" s="380">
        <v>5.59</v>
      </c>
      <c r="D29"/>
      <c r="E29" s="411">
        <v>4.8099999999999996</v>
      </c>
      <c r="F29" s="412">
        <v>3.34</v>
      </c>
      <c r="G29" s="413">
        <v>3.23</v>
      </c>
      <c r="H29" s="414">
        <v>3.48</v>
      </c>
      <c r="I29" s="290" t="s">
        <v>191</v>
      </c>
      <c r="J29" s="261">
        <f>IFERROR(AVERAGE(E29:H29),"")</f>
        <v>3.7149999999999999</v>
      </c>
      <c r="K29" s="291">
        <f>IFERROR(MEDIAN(E29:H29),"")</f>
        <v>3.41</v>
      </c>
      <c r="L29" s="263">
        <f>IFERROR(ABS((J29-K29)/J29),"")</f>
        <v>8.2099596231493877E-2</v>
      </c>
      <c r="N29"/>
      <c r="O29"/>
      <c r="P29"/>
      <c r="Q29"/>
      <c r="R29"/>
      <c r="S29"/>
      <c r="T29"/>
      <c r="U29"/>
      <c r="V29"/>
      <c r="W29"/>
      <c r="X29"/>
    </row>
    <row r="30" spans="2:29" ht="15" x14ac:dyDescent="0.2">
      <c r="B30" s="290" t="s">
        <v>192</v>
      </c>
      <c r="C30" s="381">
        <v>41.72</v>
      </c>
      <c r="D30"/>
      <c r="E30" s="264">
        <v>15.63</v>
      </c>
      <c r="F30" s="292">
        <v>23.24</v>
      </c>
      <c r="G30" s="292">
        <v>13.04</v>
      </c>
      <c r="H30" s="358">
        <v>19.47</v>
      </c>
      <c r="I30" s="290" t="s">
        <v>192</v>
      </c>
      <c r="J30" s="261">
        <f>IFERROR(AVERAGE(E30:H30),"")</f>
        <v>17.844999999999999</v>
      </c>
      <c r="K30" s="262">
        <f>IFERROR(MEDIAN(E30:H30),"")</f>
        <v>17.55</v>
      </c>
      <c r="L30" s="355">
        <f>IFERROR(ABS((J30-K30)/J30),"")</f>
        <v>1.6531241244045848E-2</v>
      </c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2:29" ht="16" thickBot="1" x14ac:dyDescent="0.25">
      <c r="B31" s="290" t="s">
        <v>193</v>
      </c>
      <c r="C31" s="382">
        <v>62.34</v>
      </c>
      <c r="D31"/>
      <c r="E31" s="293">
        <v>19.100000000000001</v>
      </c>
      <c r="F31" s="294">
        <v>36.76</v>
      </c>
      <c r="G31" s="294">
        <v>16.440000000000001</v>
      </c>
      <c r="H31" s="359">
        <v>23.6</v>
      </c>
      <c r="I31" s="290" t="s">
        <v>193</v>
      </c>
      <c r="J31" s="295">
        <f>IFERROR(AVERAGE(E31:H31),"")</f>
        <v>23.975000000000001</v>
      </c>
      <c r="K31" s="269">
        <f>IFERROR(MEDIAN(E31:H31),"")</f>
        <v>21.35</v>
      </c>
      <c r="L31" s="296">
        <f>IFERROR(ABS((J31-K31)/J31),"")</f>
        <v>0.1094890510948905</v>
      </c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2:29" ht="16" thickBot="1" x14ac:dyDescent="0.25">
      <c r="B32" s="290"/>
      <c r="C32" s="290"/>
      <c r="D32" s="290"/>
      <c r="E32"/>
      <c r="F32"/>
      <c r="G32"/>
      <c r="H32"/>
      <c r="I32"/>
      <c r="Q32"/>
      <c r="R32"/>
      <c r="S32"/>
      <c r="T32"/>
      <c r="U32"/>
      <c r="V32"/>
      <c r="W32"/>
      <c r="X32"/>
      <c r="Y32"/>
      <c r="Z32"/>
    </row>
    <row r="33" spans="2:26" ht="16" thickBot="1" x14ac:dyDescent="0.25">
      <c r="B33" s="290"/>
      <c r="C33" s="290"/>
      <c r="D33" s="290"/>
      <c r="E33"/>
      <c r="F33"/>
      <c r="G33"/>
      <c r="H33"/>
      <c r="I33"/>
      <c r="J33"/>
      <c r="K33"/>
      <c r="L33"/>
      <c r="M33" s="446" t="s">
        <v>190</v>
      </c>
      <c r="N33" s="447"/>
      <c r="O33" s="447"/>
      <c r="P33" s="447"/>
      <c r="Q33"/>
      <c r="R33"/>
      <c r="S33"/>
      <c r="T33"/>
      <c r="U33"/>
      <c r="V33"/>
      <c r="W33"/>
      <c r="X33"/>
      <c r="Y33"/>
      <c r="Z33"/>
    </row>
    <row r="34" spans="2:26" ht="16" thickBot="1" x14ac:dyDescent="0.25">
      <c r="B34" s="290"/>
      <c r="C34" s="493" t="s">
        <v>194</v>
      </c>
      <c r="D34" s="494"/>
      <c r="E34" s="494"/>
      <c r="F34" s="495"/>
      <c r="G34"/>
      <c r="H34"/>
      <c r="I34"/>
      <c r="J34"/>
      <c r="K34"/>
      <c r="L34"/>
      <c r="M34" s="448" t="s">
        <v>195</v>
      </c>
      <c r="N34" s="445"/>
      <c r="O34" s="445"/>
      <c r="P34" s="399" t="s">
        <v>192</v>
      </c>
      <c r="Q34"/>
      <c r="R34"/>
      <c r="S34"/>
      <c r="T34"/>
      <c r="U34"/>
      <c r="V34"/>
      <c r="W34"/>
      <c r="X34"/>
      <c r="Y34"/>
      <c r="Z34"/>
    </row>
    <row r="35" spans="2:26" ht="15" x14ac:dyDescent="0.2">
      <c r="B35"/>
      <c r="C35" s="297" t="s">
        <v>195</v>
      </c>
      <c r="D35" s="140"/>
      <c r="E35" s="298"/>
      <c r="F35" s="299" t="s">
        <v>192</v>
      </c>
      <c r="G35"/>
      <c r="H35"/>
      <c r="I35"/>
      <c r="J35"/>
      <c r="K35"/>
      <c r="L35"/>
      <c r="M35" s="452" t="s">
        <v>196</v>
      </c>
      <c r="N35" s="453"/>
      <c r="O35" s="453"/>
      <c r="P35" s="455">
        <v>359.3</v>
      </c>
      <c r="Q35"/>
      <c r="R35"/>
      <c r="S35"/>
      <c r="T35"/>
      <c r="U35"/>
      <c r="V35"/>
      <c r="W35"/>
      <c r="X35"/>
      <c r="Y35"/>
      <c r="Z35"/>
    </row>
    <row r="36" spans="2:26" ht="15" x14ac:dyDescent="0.2">
      <c r="B36"/>
      <c r="C36" s="300" t="s">
        <v>196</v>
      </c>
      <c r="D36" s="279"/>
      <c r="E36" s="301"/>
      <c r="F36" s="459">
        <v>359.3</v>
      </c>
      <c r="G36"/>
      <c r="H36"/>
      <c r="I36"/>
      <c r="J36"/>
      <c r="K36"/>
      <c r="L36"/>
      <c r="M36" s="449" t="s">
        <v>197</v>
      </c>
      <c r="N36" s="445"/>
      <c r="O36" s="445"/>
      <c r="P36" s="398">
        <v>17.55</v>
      </c>
      <c r="Q36"/>
      <c r="R36"/>
      <c r="S36"/>
      <c r="T36"/>
      <c r="U36"/>
      <c r="V36"/>
      <c r="W36"/>
      <c r="X36"/>
      <c r="Y36"/>
      <c r="Z36"/>
    </row>
    <row r="37" spans="2:26" ht="15" x14ac:dyDescent="0.2">
      <c r="B37"/>
      <c r="C37" s="303" t="s">
        <v>197</v>
      </c>
      <c r="D37" s="140"/>
      <c r="E37" s="304"/>
      <c r="F37" s="282">
        <f>K30</f>
        <v>17.55</v>
      </c>
      <c r="G37"/>
      <c r="H37"/>
      <c r="I37"/>
      <c r="J37"/>
      <c r="K37"/>
      <c r="L37"/>
      <c r="M37" s="452" t="s">
        <v>198</v>
      </c>
      <c r="N37" s="453"/>
      <c r="O37" s="453"/>
      <c r="P37" s="454">
        <v>6305.7150000000001</v>
      </c>
      <c r="Q37"/>
      <c r="R37"/>
      <c r="S37"/>
      <c r="T37"/>
      <c r="U37"/>
      <c r="V37"/>
      <c r="W37"/>
      <c r="X37"/>
      <c r="Y37"/>
      <c r="Z37"/>
    </row>
    <row r="38" spans="2:26" ht="15" x14ac:dyDescent="0.2">
      <c r="B38"/>
      <c r="C38" s="300" t="s">
        <v>198</v>
      </c>
      <c r="D38" s="279"/>
      <c r="E38" s="301"/>
      <c r="F38" s="302">
        <f>F36*F37</f>
        <v>6305.7150000000001</v>
      </c>
      <c r="G38"/>
      <c r="H38"/>
      <c r="I38"/>
      <c r="J38"/>
      <c r="K38"/>
      <c r="L38"/>
      <c r="M38" s="449" t="s">
        <v>199</v>
      </c>
      <c r="N38" s="445"/>
      <c r="O38" s="445"/>
      <c r="P38" s="400">
        <v>-384.8</v>
      </c>
      <c r="Q38"/>
      <c r="R38"/>
      <c r="S38"/>
      <c r="T38"/>
      <c r="U38"/>
      <c r="V38"/>
      <c r="W38"/>
      <c r="X38"/>
    </row>
    <row r="39" spans="2:26" ht="15" x14ac:dyDescent="0.2">
      <c r="B39"/>
      <c r="C39" s="303" t="s">
        <v>199</v>
      </c>
      <c r="D39" s="140"/>
      <c r="E39" s="305"/>
      <c r="F39" s="306">
        <v>-384.8</v>
      </c>
      <c r="G39"/>
      <c r="H39"/>
      <c r="I39"/>
      <c r="J39"/>
      <c r="K39"/>
      <c r="L39"/>
      <c r="M39" s="452" t="s">
        <v>200</v>
      </c>
      <c r="N39" s="453"/>
      <c r="O39" s="453"/>
      <c r="P39" s="454">
        <v>0</v>
      </c>
      <c r="Q39"/>
      <c r="R39"/>
      <c r="S39"/>
      <c r="T39"/>
      <c r="U39"/>
      <c r="V39"/>
      <c r="W39"/>
      <c r="X39"/>
    </row>
    <row r="40" spans="2:26" ht="15" x14ac:dyDescent="0.2">
      <c r="B40"/>
      <c r="C40" s="300" t="s">
        <v>200</v>
      </c>
      <c r="D40" s="279"/>
      <c r="E40" s="301"/>
      <c r="F40" s="302">
        <v>0</v>
      </c>
      <c r="G40" s="307"/>
      <c r="H40"/>
      <c r="I40"/>
      <c r="J40"/>
      <c r="K40"/>
      <c r="L40"/>
      <c r="M40" s="449" t="s">
        <v>201</v>
      </c>
      <c r="N40" s="445"/>
      <c r="O40" s="445"/>
      <c r="P40" s="401">
        <v>1080.3</v>
      </c>
      <c r="Q40"/>
      <c r="R40"/>
      <c r="S40"/>
      <c r="T40"/>
      <c r="U40"/>
      <c r="V40"/>
      <c r="W40"/>
      <c r="X40"/>
    </row>
    <row r="41" spans="2:26" ht="15" x14ac:dyDescent="0.2">
      <c r="B41"/>
      <c r="C41" s="303" t="s">
        <v>201</v>
      </c>
      <c r="D41" s="140"/>
      <c r="E41" s="305"/>
      <c r="F41" s="308">
        <v>1080.3</v>
      </c>
      <c r="G41"/>
      <c r="H41"/>
      <c r="I41"/>
      <c r="J41"/>
      <c r="K41"/>
      <c r="L41"/>
      <c r="M41" s="452" t="s">
        <v>202</v>
      </c>
      <c r="N41" s="453"/>
      <c r="O41" s="453"/>
      <c r="P41" s="454">
        <v>7001.2150000000001</v>
      </c>
      <c r="Q41"/>
      <c r="R41"/>
      <c r="S41"/>
      <c r="T41"/>
      <c r="U41"/>
      <c r="V41"/>
      <c r="W41"/>
      <c r="X41"/>
    </row>
    <row r="42" spans="2:26" ht="16" thickBot="1" x14ac:dyDescent="0.25">
      <c r="B42"/>
      <c r="C42" s="300" t="s">
        <v>202</v>
      </c>
      <c r="D42" s="279"/>
      <c r="E42" s="301"/>
      <c r="F42" s="302">
        <f>SUM(F38:F41)</f>
        <v>7001.2150000000001</v>
      </c>
      <c r="G42"/>
      <c r="H42"/>
      <c r="I42"/>
      <c r="J42"/>
      <c r="K42"/>
      <c r="L42"/>
      <c r="M42" s="449" t="s">
        <v>94</v>
      </c>
      <c r="N42" s="445"/>
      <c r="O42" s="445"/>
      <c r="P42" s="402">
        <v>289.3</v>
      </c>
      <c r="Q42"/>
      <c r="R42"/>
      <c r="S42"/>
      <c r="T42"/>
      <c r="U42"/>
      <c r="V42"/>
      <c r="W42"/>
      <c r="X42"/>
    </row>
    <row r="43" spans="2:26" ht="16" thickBot="1" x14ac:dyDescent="0.25">
      <c r="B43"/>
      <c r="C43" s="309" t="s">
        <v>94</v>
      </c>
      <c r="D43" s="140"/>
      <c r="E43" s="310"/>
      <c r="F43" s="311">
        <v>289.3</v>
      </c>
      <c r="G43"/>
      <c r="H43"/>
      <c r="I43"/>
      <c r="J43"/>
      <c r="K43"/>
      <c r="L43"/>
      <c r="M43" s="456" t="s">
        <v>189</v>
      </c>
      <c r="N43" s="457"/>
      <c r="O43" s="457"/>
      <c r="P43" s="458">
        <v>24.200535776011062</v>
      </c>
      <c r="Q43"/>
      <c r="R43"/>
      <c r="S43"/>
      <c r="T43"/>
      <c r="U43"/>
      <c r="V43"/>
      <c r="W43"/>
      <c r="X43"/>
    </row>
    <row r="44" spans="2:26" ht="16" thickBot="1" x14ac:dyDescent="0.25">
      <c r="B44"/>
      <c r="C44" s="312" t="s">
        <v>189</v>
      </c>
      <c r="D44" s="286"/>
      <c r="E44" s="313"/>
      <c r="F44" s="360">
        <f>F42/F43</f>
        <v>24.200535776011062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2:26" ht="15" x14ac:dyDescent="0.2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2:26" ht="15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2:26" ht="15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</sheetData>
  <mergeCells count="10">
    <mergeCell ref="B24:X24"/>
    <mergeCell ref="C26:F26"/>
    <mergeCell ref="K26:M26"/>
    <mergeCell ref="C34:F34"/>
    <mergeCell ref="B1:X1"/>
    <mergeCell ref="C3:F3"/>
    <mergeCell ref="K3:M3"/>
    <mergeCell ref="C12:F12"/>
    <mergeCell ref="H15:K15"/>
    <mergeCell ref="M15:P15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3E5DBD5E28D2428D3238D36AD630D9" ma:contentTypeVersion="10" ma:contentTypeDescription="Create a new document." ma:contentTypeScope="" ma:versionID="2759f8887f64deeff6916e0548011015">
  <xsd:schema xmlns:xsd="http://www.w3.org/2001/XMLSchema" xmlns:xs="http://www.w3.org/2001/XMLSchema" xmlns:p="http://schemas.microsoft.com/office/2006/metadata/properties" xmlns:ns3="a9954d67-d547-400a-8d6d-511ebe1029a6" xmlns:ns4="b19db112-0d3f-4c20-a826-efbe1d2fe655" targetNamespace="http://schemas.microsoft.com/office/2006/metadata/properties" ma:root="true" ma:fieldsID="c2841c76672dbdd76582cfaa1f739b41" ns3:_="" ns4:_="">
    <xsd:import namespace="a9954d67-d547-400a-8d6d-511ebe1029a6"/>
    <xsd:import namespace="b19db112-0d3f-4c20-a826-efbe1d2fe65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54d67-d547-400a-8d6d-511ebe1029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9db112-0d3f-4c20-a826-efbe1d2fe6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9db112-0d3f-4c20-a826-efbe1d2fe655" xsi:nil="true"/>
  </documentManagement>
</p:properties>
</file>

<file path=customXml/itemProps1.xml><?xml version="1.0" encoding="utf-8"?>
<ds:datastoreItem xmlns:ds="http://schemas.openxmlformats.org/officeDocument/2006/customXml" ds:itemID="{4A345431-6699-438E-861B-24B4887348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E78817-DA79-4FFC-869F-2206A6EC7C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954d67-d547-400a-8d6d-511ebe1029a6"/>
    <ds:schemaRef ds:uri="b19db112-0d3f-4c20-a826-efbe1d2fe6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B63690-0FA9-4091-B28D-27287CF0E8D6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b19db112-0d3f-4c20-a826-efbe1d2fe655"/>
    <ds:schemaRef ds:uri="a9954d67-d547-400a-8d6d-511ebe1029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Historical Percentages </vt:lpstr>
      <vt:lpstr>Target Price Calculation (2)</vt:lpstr>
      <vt:lpstr>Target Price Calculation</vt:lpstr>
      <vt:lpstr>Historicals</vt:lpstr>
      <vt:lpstr>EBITDA Multiple Model - Bear</vt:lpstr>
      <vt:lpstr>EBITDA Multiple Model - Base</vt:lpstr>
      <vt:lpstr>H-Model Realistic</vt:lpstr>
      <vt:lpstr>H-Model - Conservative</vt:lpstr>
      <vt:lpstr>EBIT Multiple Model </vt:lpstr>
      <vt:lpstr>Comps Data</vt:lpstr>
      <vt:lpstr>Sort Summary</vt:lpstr>
      <vt:lpstr>Multiples Valuations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aheuson</dc:creator>
  <cp:keywords/>
  <dc:description/>
  <cp:lastModifiedBy>Michael Hyde</cp:lastModifiedBy>
  <cp:revision/>
  <cp:lastPrinted>2025-04-16T16:49:41Z</cp:lastPrinted>
  <dcterms:created xsi:type="dcterms:W3CDTF">2012-02-05T02:06:06Z</dcterms:created>
  <dcterms:modified xsi:type="dcterms:W3CDTF">2025-09-08T09:51:14Z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0x010100F43E5DBD5E28D2428D3238D36AD630D9</vt:lpwstr>
  </property>
</Properties>
</file>