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53e176b1df669c/Desktop/Personal/10_Intrinsic/final/"/>
    </mc:Choice>
  </mc:AlternateContent>
  <xr:revisionPtr revIDLastSave="3" documentId="13_ncr:1_{CA9FCE11-1BE5-4F42-A0B9-7D10A1F0E739}" xr6:coauthVersionLast="47" xr6:coauthVersionMax="47" xr10:uidLastSave="{53D8CDFA-8A4D-4879-9EEC-8537C6EB82C0}"/>
  <bookViews>
    <workbookView xWindow="-120" yWindow="-120" windowWidth="29040" windowHeight="15720" tabRatio="780" firstSheet="1" activeTab="1" xr2:uid="{00000000-000D-0000-FFFF-FFFF00000000}"/>
  </bookViews>
  <sheets>
    <sheet name="Historical Percentages " sheetId="1" state="hidden" r:id="rId1"/>
    <sheet name="Historicals" sheetId="36" r:id="rId2"/>
    <sheet name="BASE SALES Multiple Model" sheetId="44" r:id="rId3"/>
    <sheet name="H-Model Realistic" sheetId="26" r:id="rId4"/>
    <sheet name="Comps Data" sheetId="31" r:id="rId5"/>
    <sheet name="Sort Summary" sheetId="32" r:id="rId6"/>
    <sheet name="Direct Valuation" sheetId="33" r:id="rId7"/>
    <sheet name="Indirect Valuation" sheetId="34" r:id="rId8"/>
    <sheet name="WACC Calculation" sheetId="38" state="hidden" r:id="rId9"/>
    <sheet name="BULL SALES Multiple Model" sheetId="21" state="hidden" r:id="rId10"/>
  </sheets>
  <definedNames>
    <definedName name="_xlnm._FilterDatabase" localSheetId="5" hidden="1">'Sort Summary'!$C$13:$H$14</definedName>
    <definedName name="ColorCounter">"="</definedName>
    <definedName name="_xlnm.Print_Area" localSheetId="8">'WACC Calculation'!$A$1:$D$26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44" l="1"/>
  <c r="H20" i="44"/>
  <c r="G20" i="44"/>
  <c r="F20" i="44"/>
  <c r="E20" i="44"/>
  <c r="D20" i="44"/>
  <c r="C20" i="44"/>
  <c r="E9" i="44"/>
  <c r="F9" i="44" s="1"/>
  <c r="G9" i="44" s="1"/>
  <c r="H9" i="44" s="1"/>
  <c r="I9" i="44" s="1"/>
  <c r="E6" i="44"/>
  <c r="F6" i="44" s="1"/>
  <c r="G6" i="44" s="1"/>
  <c r="H6" i="44" s="1"/>
  <c r="I6" i="44" s="1"/>
  <c r="I19" i="36" l="1"/>
  <c r="E19" i="36"/>
  <c r="D19" i="36"/>
  <c r="C19" i="36"/>
  <c r="I27" i="36"/>
  <c r="C27" i="36"/>
  <c r="D27" i="36"/>
  <c r="E27" i="36"/>
  <c r="F27" i="36"/>
  <c r="G27" i="36"/>
  <c r="H27" i="36"/>
  <c r="N16" i="44" l="1"/>
  <c r="D42" i="44"/>
  <c r="E42" i="44" s="1"/>
  <c r="F42" i="44" s="1"/>
  <c r="E34" i="44"/>
  <c r="F34" i="44" s="1"/>
  <c r="G34" i="44" s="1"/>
  <c r="H34" i="44" s="1"/>
  <c r="I34" i="44" s="1"/>
  <c r="L30" i="21"/>
  <c r="G54" i="44"/>
  <c r="H54" i="44" s="1"/>
  <c r="E54" i="44"/>
  <c r="D54" i="44" s="1"/>
  <c r="I44" i="44"/>
  <c r="H44" i="44"/>
  <c r="G44" i="44"/>
  <c r="F44" i="44"/>
  <c r="E44" i="44"/>
  <c r="D44" i="44"/>
  <c r="C44" i="44"/>
  <c r="C33" i="44"/>
  <c r="C34" i="44" s="1"/>
  <c r="C30" i="44"/>
  <c r="C17" i="44"/>
  <c r="C11" i="44"/>
  <c r="C27" i="44" s="1"/>
  <c r="C8" i="44"/>
  <c r="C6" i="44"/>
  <c r="C5" i="44"/>
  <c r="D5" i="44" s="1"/>
  <c r="D33" i="44" s="1"/>
  <c r="L4" i="44"/>
  <c r="F9" i="21"/>
  <c r="G9" i="21" s="1"/>
  <c r="H9" i="21" s="1"/>
  <c r="I9" i="21" s="1"/>
  <c r="L28" i="21"/>
  <c r="E12" i="21"/>
  <c r="F12" i="21" s="1"/>
  <c r="G12" i="21" s="1"/>
  <c r="H12" i="21" s="1"/>
  <c r="I12" i="21" s="1"/>
  <c r="E28" i="21"/>
  <c r="F28" i="21" s="1"/>
  <c r="G28" i="21" s="1"/>
  <c r="H28" i="21" s="1"/>
  <c r="I28" i="21" s="1"/>
  <c r="C30" i="21"/>
  <c r="C27" i="21"/>
  <c r="C17" i="21"/>
  <c r="C11" i="21"/>
  <c r="C8" i="21"/>
  <c r="C5" i="21"/>
  <c r="C6" i="21"/>
  <c r="C27" i="26"/>
  <c r="C17" i="26"/>
  <c r="C11" i="26"/>
  <c r="C8" i="26"/>
  <c r="C6" i="26"/>
  <c r="C5" i="26"/>
  <c r="I10" i="36"/>
  <c r="C9" i="44" s="1"/>
  <c r="I13" i="36" a="1"/>
  <c r="I13" i="36" s="1"/>
  <c r="I16" i="36"/>
  <c r="I30" i="36"/>
  <c r="I24" i="36"/>
  <c r="I23" i="36"/>
  <c r="I21" i="36"/>
  <c r="I7" i="36"/>
  <c r="C14" i="44" l="1"/>
  <c r="C31" i="44"/>
  <c r="D31" i="44" s="1"/>
  <c r="E31" i="44" s="1"/>
  <c r="F31" i="44" s="1"/>
  <c r="G31" i="44" s="1"/>
  <c r="H31" i="44" s="1"/>
  <c r="I31" i="44" s="1"/>
  <c r="C9" i="21"/>
  <c r="E5" i="44"/>
  <c r="F5" i="44" s="1"/>
  <c r="D30" i="44"/>
  <c r="C25" i="44"/>
  <c r="C36" i="44" s="1"/>
  <c r="C46" i="44" s="1"/>
  <c r="C15" i="44"/>
  <c r="G42" i="44"/>
  <c r="H42" i="44" s="1"/>
  <c r="I42" i="44" s="1"/>
  <c r="C12" i="44"/>
  <c r="D8" i="44"/>
  <c r="C18" i="44" l="1"/>
  <c r="C19" i="44"/>
  <c r="F30" i="44"/>
  <c r="G5" i="44"/>
  <c r="H5" i="44" s="1"/>
  <c r="E33" i="44"/>
  <c r="E8" i="44"/>
  <c r="F8" i="44"/>
  <c r="E30" i="44"/>
  <c r="F33" i="44"/>
  <c r="C28" i="44"/>
  <c r="L8" i="44"/>
  <c r="G8" i="44" l="1"/>
  <c r="G30" i="44"/>
  <c r="H8" i="44"/>
  <c r="G33" i="44"/>
  <c r="D11" i="44"/>
  <c r="E12" i="44"/>
  <c r="H30" i="44"/>
  <c r="I5" i="44"/>
  <c r="H33" i="44"/>
  <c r="I30" i="44" l="1"/>
  <c r="L5" i="44"/>
  <c r="L7" i="44" s="1"/>
  <c r="L12" i="44" s="1"/>
  <c r="I33" i="44"/>
  <c r="I8" i="44"/>
  <c r="D27" i="44"/>
  <c r="D28" i="44" s="1"/>
  <c r="D14" i="44"/>
  <c r="E11" i="44"/>
  <c r="D17" i="44" l="1"/>
  <c r="D19" i="44"/>
  <c r="D25" i="44"/>
  <c r="D36" i="44" s="1"/>
  <c r="D46" i="44" s="1"/>
  <c r="D15" i="44"/>
  <c r="F11" i="44"/>
  <c r="E27" i="44"/>
  <c r="E28" i="44" s="1"/>
  <c r="E14" i="44"/>
  <c r="E17" i="44" l="1"/>
  <c r="E19" i="44" s="1"/>
  <c r="F27" i="44"/>
  <c r="F28" i="44" s="1"/>
  <c r="F14" i="44"/>
  <c r="H12" i="44"/>
  <c r="G11" i="44"/>
  <c r="E25" i="44"/>
  <c r="E36" i="44" s="1"/>
  <c r="E46" i="44" s="1"/>
  <c r="E15" i="44"/>
  <c r="F17" i="44" l="1"/>
  <c r="F19" i="44"/>
  <c r="I12" i="44"/>
  <c r="I11" i="44" s="1"/>
  <c r="H11" i="44"/>
  <c r="G27" i="44"/>
  <c r="G28" i="44" s="1"/>
  <c r="G14" i="44"/>
  <c r="F25" i="44"/>
  <c r="F36" i="44" s="1"/>
  <c r="F46" i="44" s="1"/>
  <c r="F15" i="44"/>
  <c r="G17" i="44" l="1"/>
  <c r="G25" i="44" s="1"/>
  <c r="G36" i="44" s="1"/>
  <c r="G46" i="44" s="1"/>
  <c r="I27" i="44"/>
  <c r="I28" i="44" s="1"/>
  <c r="I14" i="44"/>
  <c r="G15" i="44"/>
  <c r="H27" i="44"/>
  <c r="H28" i="44" s="1"/>
  <c r="H14" i="44"/>
  <c r="H17" i="44" l="1"/>
  <c r="H19" i="44"/>
  <c r="I17" i="44"/>
  <c r="I19" i="44"/>
  <c r="G19" i="44"/>
  <c r="I25" i="44"/>
  <c r="I36" i="44" s="1"/>
  <c r="I46" i="44" s="1"/>
  <c r="I15" i="44"/>
  <c r="H15" i="44"/>
  <c r="H25" i="44"/>
  <c r="H36" i="44" s="1"/>
  <c r="H46" i="44" s="1"/>
  <c r="L11" i="44" l="1"/>
  <c r="L15" i="44" s="1"/>
  <c r="L18" i="44" l="1"/>
  <c r="L22" i="44" s="1"/>
  <c r="L24" i="44" s="1"/>
  <c r="L13" i="44"/>
  <c r="C54" i="44" l="1"/>
  <c r="N18" i="44"/>
  <c r="N21" i="44" s="1"/>
  <c r="K19" i="33" l="1"/>
  <c r="F13" i="34"/>
  <c r="L22" i="26"/>
  <c r="D3" i="32"/>
  <c r="C3" i="32"/>
  <c r="C18" i="26" l="1"/>
  <c r="S8" i="26"/>
  <c r="H15" i="36"/>
  <c r="H19" i="36" s="1"/>
  <c r="G15" i="36"/>
  <c r="G19" i="36" s="1"/>
  <c r="F15" i="36"/>
  <c r="F19" i="36" s="1"/>
  <c r="E15" i="36"/>
  <c r="D15" i="36"/>
  <c r="C15" i="36"/>
  <c r="C24" i="38" l="1"/>
  <c r="C18" i="38"/>
  <c r="C16" i="38"/>
  <c r="C11" i="38"/>
  <c r="E51" i="21"/>
  <c r="D51" i="21" s="1"/>
  <c r="C20" i="38" l="1"/>
  <c r="D19" i="38" s="1"/>
  <c r="G51" i="21"/>
  <c r="H51" i="21" s="1"/>
  <c r="K6" i="33"/>
  <c r="D18" i="38" l="1"/>
  <c r="C22" i="38" s="1"/>
  <c r="L4" i="21" l="1"/>
  <c r="K8" i="33" l="1"/>
  <c r="J8" i="33"/>
  <c r="K8" i="34" l="1"/>
  <c r="K7" i="34"/>
  <c r="K6" i="34"/>
  <c r="J8" i="34"/>
  <c r="J7" i="34"/>
  <c r="J6" i="34"/>
  <c r="K10" i="33"/>
  <c r="K7" i="33"/>
  <c r="J10" i="33"/>
  <c r="J7" i="33"/>
  <c r="J6" i="33"/>
  <c r="C30" i="26"/>
  <c r="D5" i="26"/>
  <c r="G7" i="36"/>
  <c r="F7" i="36"/>
  <c r="C14" i="26" l="1"/>
  <c r="C28" i="26"/>
  <c r="D28" i="26" s="1"/>
  <c r="E28" i="26" s="1"/>
  <c r="F28" i="26" s="1"/>
  <c r="G28" i="26" s="1"/>
  <c r="H28" i="26" s="1"/>
  <c r="I28" i="26" s="1"/>
  <c r="F15" i="34"/>
  <c r="L6" i="33"/>
  <c r="C14" i="21"/>
  <c r="D27" i="26" l="1"/>
  <c r="C13" i="36"/>
  <c r="F23" i="36"/>
  <c r="C23" i="36"/>
  <c r="F30" i="36"/>
  <c r="F10" i="36"/>
  <c r="F13" i="36" a="1"/>
  <c r="F13" i="36" s="1"/>
  <c r="F24" i="36"/>
  <c r="D7" i="36"/>
  <c r="H30" i="36"/>
  <c r="G30" i="36"/>
  <c r="E30" i="36"/>
  <c r="D30" i="36"/>
  <c r="C30" i="36"/>
  <c r="H24" i="36"/>
  <c r="G24" i="36"/>
  <c r="E24" i="36"/>
  <c r="D24" i="36"/>
  <c r="C24" i="36"/>
  <c r="H23" i="36"/>
  <c r="G23" i="36"/>
  <c r="E23" i="36"/>
  <c r="D23" i="36"/>
  <c r="H21" i="36"/>
  <c r="H13" i="36" a="1"/>
  <c r="H13" i="36" s="1"/>
  <c r="G13" i="36" a="1"/>
  <c r="G13" i="36" s="1"/>
  <c r="E13" i="36" a="1"/>
  <c r="E13" i="36" s="1"/>
  <c r="D13" i="36" a="1"/>
  <c r="D13" i="36" s="1"/>
  <c r="H10" i="36"/>
  <c r="G10" i="36"/>
  <c r="E10" i="36"/>
  <c r="D10" i="36"/>
  <c r="C10" i="36"/>
  <c r="H7" i="36"/>
  <c r="E7" i="36"/>
  <c r="D16" i="36" l="1"/>
  <c r="G16" i="36"/>
  <c r="C16" i="36"/>
  <c r="E16" i="36"/>
  <c r="F21" i="36"/>
  <c r="F16" i="36"/>
  <c r="C21" i="36"/>
  <c r="D21" i="36"/>
  <c r="E21" i="36"/>
  <c r="G21" i="36"/>
  <c r="H16" i="36"/>
  <c r="H11" i="32" l="1"/>
  <c r="J9" i="33" l="1"/>
  <c r="K9" i="33"/>
  <c r="X30" i="31"/>
  <c r="L9" i="33" l="1"/>
  <c r="K20" i="33"/>
  <c r="K3" i="32"/>
  <c r="J3" i="32"/>
  <c r="I3" i="32"/>
  <c r="H3" i="32"/>
  <c r="G3" i="32"/>
  <c r="F3" i="32"/>
  <c r="E3" i="32"/>
  <c r="L7" i="34" l="1"/>
  <c r="L8" i="34"/>
  <c r="L6" i="34"/>
  <c r="L8" i="33"/>
  <c r="L10" i="33"/>
  <c r="L7" i="33"/>
  <c r="F19" i="34"/>
  <c r="F21" i="34" s="1"/>
  <c r="K29" i="32"/>
  <c r="D20" i="32"/>
  <c r="J26" i="32"/>
  <c r="E29" i="32"/>
  <c r="F20" i="32"/>
  <c r="G29" i="32"/>
  <c r="F17" i="32"/>
  <c r="F26" i="32"/>
  <c r="H20" i="32"/>
  <c r="I23" i="32"/>
  <c r="C17" i="32"/>
  <c r="E20" i="32"/>
  <c r="K26" i="32"/>
  <c r="J20" i="32"/>
  <c r="C23" i="32"/>
  <c r="D29" i="32"/>
  <c r="K17" i="32"/>
  <c r="J23" i="32"/>
  <c r="E17" i="32"/>
  <c r="K23" i="32"/>
  <c r="C26" i="32"/>
  <c r="C29" i="32"/>
  <c r="AJ30" i="31" l="1"/>
  <c r="N11" i="32" s="1"/>
  <c r="AG30" i="31"/>
  <c r="M11" i="32" s="1"/>
  <c r="AD30" i="31"/>
  <c r="L11" i="32" s="1"/>
  <c r="AA30" i="31"/>
  <c r="U30" i="31"/>
  <c r="I11" i="32" s="1"/>
  <c r="R30" i="31"/>
  <c r="L30" i="31"/>
  <c r="F11" i="32" s="1"/>
  <c r="O30" i="31"/>
  <c r="G11" i="32" s="1"/>
  <c r="I30" i="31"/>
  <c r="E11" i="32" s="1"/>
  <c r="F30" i="31"/>
  <c r="D11" i="32" s="1"/>
  <c r="C30" i="31"/>
  <c r="C11" i="32" s="1"/>
  <c r="AJ28" i="31"/>
  <c r="AG28" i="31"/>
  <c r="AD28" i="31"/>
  <c r="AA28" i="31"/>
  <c r="K9" i="32" s="1"/>
  <c r="H29" i="32" s="1"/>
  <c r="X28" i="31"/>
  <c r="J9" i="32" s="1"/>
  <c r="U28" i="31"/>
  <c r="I9" i="32" s="1"/>
  <c r="R28" i="31"/>
  <c r="H9" i="32" s="1"/>
  <c r="O28" i="31"/>
  <c r="G9" i="32" s="1"/>
  <c r="J29" i="32" s="1"/>
  <c r="L28" i="31"/>
  <c r="F9" i="32" s="1"/>
  <c r="I28" i="31"/>
  <c r="E9" i="32" s="1"/>
  <c r="I29" i="32" s="1"/>
  <c r="F28" i="31"/>
  <c r="D9" i="32" s="1"/>
  <c r="F29" i="32" s="1"/>
  <c r="C28" i="31"/>
  <c r="C9" i="32" s="1"/>
  <c r="AJ27" i="31"/>
  <c r="AG27" i="31"/>
  <c r="AD27" i="31"/>
  <c r="AA27" i="31"/>
  <c r="K8" i="32" s="1"/>
  <c r="G26" i="32" s="1"/>
  <c r="X27" i="31"/>
  <c r="J8" i="32" s="1"/>
  <c r="U27" i="31"/>
  <c r="I8" i="32" s="1"/>
  <c r="R27" i="31"/>
  <c r="H8" i="32" s="1"/>
  <c r="O27" i="31"/>
  <c r="G8" i="32" s="1"/>
  <c r="I26" i="32" s="1"/>
  <c r="L27" i="31"/>
  <c r="F8" i="32" s="1"/>
  <c r="I27" i="31"/>
  <c r="E8" i="32" s="1"/>
  <c r="H26" i="32" s="1"/>
  <c r="F27" i="31"/>
  <c r="D8" i="32" s="1"/>
  <c r="D26" i="32" s="1"/>
  <c r="C27" i="31"/>
  <c r="C8" i="32" s="1"/>
  <c r="E26" i="32" s="1"/>
  <c r="AJ26" i="31"/>
  <c r="AG26" i="31"/>
  <c r="AD26" i="31"/>
  <c r="AA26" i="31"/>
  <c r="K7" i="32" s="1"/>
  <c r="G23" i="32" s="1"/>
  <c r="X26" i="31"/>
  <c r="J7" i="32" s="1"/>
  <c r="H23" i="32" s="1"/>
  <c r="U26" i="31"/>
  <c r="I7" i="32" s="1"/>
  <c r="R26" i="31"/>
  <c r="H7" i="32" s="1"/>
  <c r="O26" i="31"/>
  <c r="G7" i="32" s="1"/>
  <c r="D23" i="32" s="1"/>
  <c r="L26" i="31"/>
  <c r="F7" i="32" s="1"/>
  <c r="I26" i="31"/>
  <c r="E7" i="32" s="1"/>
  <c r="F23" i="32" s="1"/>
  <c r="F26" i="31"/>
  <c r="D7" i="32" s="1"/>
  <c r="C26" i="31"/>
  <c r="C7" i="32" s="1"/>
  <c r="E23" i="32" s="1"/>
  <c r="AJ25" i="31"/>
  <c r="AG25" i="31"/>
  <c r="AD25" i="31"/>
  <c r="AA25" i="31"/>
  <c r="K6" i="32" s="1"/>
  <c r="C20" i="32" s="1"/>
  <c r="X25" i="31"/>
  <c r="J6" i="32" s="1"/>
  <c r="U25" i="31"/>
  <c r="I6" i="32" s="1"/>
  <c r="R25" i="31"/>
  <c r="H6" i="32" s="1"/>
  <c r="O25" i="31"/>
  <c r="G6" i="32" s="1"/>
  <c r="L25" i="31"/>
  <c r="F6" i="32" s="1"/>
  <c r="I25" i="31"/>
  <c r="E6" i="32" s="1"/>
  <c r="K20" i="32" s="1"/>
  <c r="F25" i="31"/>
  <c r="D6" i="32" s="1"/>
  <c r="C25" i="31"/>
  <c r="C6" i="32" s="1"/>
  <c r="AJ24" i="31"/>
  <c r="AG24" i="31"/>
  <c r="AD24" i="31"/>
  <c r="AA24" i="31"/>
  <c r="K5" i="32" s="1"/>
  <c r="J17" i="32" s="1"/>
  <c r="X24" i="31"/>
  <c r="J5" i="32" s="1"/>
  <c r="G17" i="32" s="1"/>
  <c r="U24" i="31"/>
  <c r="I5" i="32" s="1"/>
  <c r="R24" i="31"/>
  <c r="H5" i="32" s="1"/>
  <c r="O24" i="31"/>
  <c r="G5" i="32" s="1"/>
  <c r="H17" i="32" s="1"/>
  <c r="L24" i="31"/>
  <c r="F5" i="32" s="1"/>
  <c r="I24" i="31"/>
  <c r="E5" i="32" s="1"/>
  <c r="I17" i="32" s="1"/>
  <c r="F24" i="31"/>
  <c r="D5" i="32" s="1"/>
  <c r="D17" i="32" s="1"/>
  <c r="C24" i="31"/>
  <c r="C5" i="32" s="1"/>
  <c r="AJ20" i="31"/>
  <c r="AJ21" i="31" s="1"/>
  <c r="AJ23" i="31" s="1"/>
  <c r="AG20" i="31"/>
  <c r="AG21" i="31" s="1"/>
  <c r="AG23" i="31" s="1"/>
  <c r="AD20" i="31"/>
  <c r="AD21" i="31" s="1"/>
  <c r="AD23" i="31" s="1"/>
  <c r="AA20" i="31"/>
  <c r="AA21" i="31" s="1"/>
  <c r="AA23" i="31" s="1"/>
  <c r="K4" i="32" s="1"/>
  <c r="X20" i="31"/>
  <c r="X21" i="31" s="1"/>
  <c r="X23" i="31" s="1"/>
  <c r="J4" i="32" s="1"/>
  <c r="U20" i="31"/>
  <c r="U21" i="31" s="1"/>
  <c r="U23" i="31" s="1"/>
  <c r="I4" i="32" s="1"/>
  <c r="R20" i="31"/>
  <c r="R21" i="31" s="1"/>
  <c r="R23" i="31" s="1"/>
  <c r="H4" i="32" s="1"/>
  <c r="O20" i="31"/>
  <c r="O21" i="31" s="1"/>
  <c r="O23" i="31" s="1"/>
  <c r="G4" i="32" s="1"/>
  <c r="L20" i="31"/>
  <c r="L21" i="31" s="1"/>
  <c r="L23" i="31" s="1"/>
  <c r="F4" i="32" s="1"/>
  <c r="I20" i="31"/>
  <c r="I21" i="31" s="1"/>
  <c r="I23" i="31" s="1"/>
  <c r="E4" i="32" s="1"/>
  <c r="F20" i="31"/>
  <c r="F21" i="31" s="1"/>
  <c r="F23" i="31" s="1"/>
  <c r="D4" i="32" s="1"/>
  <c r="C20" i="31"/>
  <c r="C21" i="31" s="1"/>
  <c r="C23" i="31" s="1"/>
  <c r="C4" i="32" s="1"/>
  <c r="H3" i="31"/>
  <c r="K3" i="31" s="1"/>
  <c r="N3" i="31" s="1"/>
  <c r="Q3" i="31" s="1"/>
  <c r="T3" i="31" s="1"/>
  <c r="W3" i="31" s="1"/>
  <c r="Z3" i="31" s="1"/>
  <c r="AC3" i="31" s="1"/>
  <c r="AF3" i="31" s="1"/>
  <c r="AI3" i="31" s="1"/>
  <c r="G20" i="32" l="1"/>
  <c r="I20" i="32"/>
  <c r="K11" i="32"/>
  <c r="J11" i="32"/>
  <c r="L4" i="26" l="1"/>
  <c r="L9" i="26" l="1"/>
  <c r="I41" i="26"/>
  <c r="H41" i="26"/>
  <c r="G41" i="26"/>
  <c r="F41" i="26"/>
  <c r="E41" i="26"/>
  <c r="D41" i="26"/>
  <c r="C41" i="26"/>
  <c r="D39" i="26"/>
  <c r="E39" i="26" s="1"/>
  <c r="F39" i="26" s="1"/>
  <c r="G39" i="26" s="1"/>
  <c r="H39" i="26" s="1"/>
  <c r="I39" i="26" s="1"/>
  <c r="L11" i="26" s="1"/>
  <c r="C24" i="26"/>
  <c r="S7" i="26"/>
  <c r="C31" i="26" l="1"/>
  <c r="C12" i="26"/>
  <c r="C9" i="26"/>
  <c r="E9" i="26" s="1"/>
  <c r="F9" i="26" s="1"/>
  <c r="G9" i="26" s="1"/>
  <c r="H9" i="26" s="1"/>
  <c r="I9" i="26" s="1"/>
  <c r="E5" i="26"/>
  <c r="D30" i="26"/>
  <c r="C25" i="26" l="1"/>
  <c r="D12" i="26"/>
  <c r="D8" i="26"/>
  <c r="E30" i="26"/>
  <c r="E27" i="26"/>
  <c r="F5" i="26"/>
  <c r="E12" i="26" l="1"/>
  <c r="D11" i="26"/>
  <c r="D24" i="26" s="1"/>
  <c r="D25" i="26" s="1"/>
  <c r="E8" i="26"/>
  <c r="F8" i="26"/>
  <c r="F30" i="26"/>
  <c r="F27" i="26"/>
  <c r="G5" i="26"/>
  <c r="F12" i="26" l="1"/>
  <c r="E11" i="26"/>
  <c r="E24" i="26" s="1"/>
  <c r="E25" i="26" s="1"/>
  <c r="D14" i="26"/>
  <c r="G8" i="26"/>
  <c r="H5" i="26"/>
  <c r="G27" i="26"/>
  <c r="G30" i="26"/>
  <c r="D17" i="26" l="1"/>
  <c r="D22" i="26" s="1"/>
  <c r="D33" i="26" s="1"/>
  <c r="D43" i="26" s="1"/>
  <c r="D15" i="26"/>
  <c r="G12" i="26"/>
  <c r="F11" i="26"/>
  <c r="E14" i="26"/>
  <c r="I5" i="26"/>
  <c r="H27" i="26"/>
  <c r="H30" i="26"/>
  <c r="H8" i="26"/>
  <c r="E17" i="26" l="1"/>
  <c r="E22" i="26" s="1"/>
  <c r="E33" i="26" s="1"/>
  <c r="E43" i="26" s="1"/>
  <c r="E15" i="26"/>
  <c r="F24" i="26"/>
  <c r="F25" i="26" s="1"/>
  <c r="F14" i="26"/>
  <c r="H12" i="26"/>
  <c r="G11" i="26"/>
  <c r="I8" i="26"/>
  <c r="I27" i="26"/>
  <c r="I30" i="26"/>
  <c r="G24" i="26" l="1"/>
  <c r="G25" i="26" s="1"/>
  <c r="G14" i="26"/>
  <c r="I12" i="26"/>
  <c r="I11" i="26" s="1"/>
  <c r="I24" i="26" s="1"/>
  <c r="I25" i="26" s="1"/>
  <c r="H11" i="26"/>
  <c r="F15" i="26"/>
  <c r="F17" i="26"/>
  <c r="F22" i="26" s="1"/>
  <c r="F33" i="26" s="1"/>
  <c r="F43" i="26" s="1"/>
  <c r="I14" i="26"/>
  <c r="H24" i="26" l="1"/>
  <c r="H25" i="26" s="1"/>
  <c r="H14" i="26"/>
  <c r="G15" i="26"/>
  <c r="G17" i="26"/>
  <c r="G22" i="26" s="1"/>
  <c r="G33" i="26" s="1"/>
  <c r="G43" i="26" s="1"/>
  <c r="I15" i="26"/>
  <c r="I17" i="26"/>
  <c r="I22" i="26" s="1"/>
  <c r="I33" i="26" s="1"/>
  <c r="H15" i="26" l="1"/>
  <c r="H17" i="26"/>
  <c r="H22" i="26" s="1"/>
  <c r="H33" i="26" s="1"/>
  <c r="H43" i="26" s="1"/>
  <c r="I43" i="26"/>
  <c r="L14" i="26" s="1"/>
  <c r="L5" i="26"/>
  <c r="L10" i="26" l="1"/>
  <c r="L15" i="26" s="1"/>
  <c r="L18" i="26" s="1"/>
  <c r="L21" i="26" s="1"/>
  <c r="L25" i="26" s="1"/>
  <c r="L27" i="26" s="1"/>
  <c r="L32" i="26" l="1"/>
  <c r="L16" i="26"/>
  <c r="C24" i="21" l="1"/>
  <c r="C28" i="21"/>
  <c r="C41" i="21"/>
  <c r="D41" i="21"/>
  <c r="D39" i="21"/>
  <c r="E39" i="21" s="1"/>
  <c r="F39" i="21" s="1"/>
  <c r="G39" i="21" l="1"/>
  <c r="H39" i="21" s="1"/>
  <c r="I39" i="21" s="1"/>
  <c r="L32" i="21" s="1"/>
  <c r="O4" i="21"/>
  <c r="C31" i="21"/>
  <c r="D5" i="21"/>
  <c r="E5" i="21" s="1"/>
  <c r="C12" i="21"/>
  <c r="C25" i="21" s="1"/>
  <c r="I41" i="21"/>
  <c r="H41" i="21"/>
  <c r="G41" i="21"/>
  <c r="F41" i="21"/>
  <c r="E41" i="21"/>
  <c r="L8" i="21" l="1"/>
  <c r="O8" i="21"/>
  <c r="E27" i="21"/>
  <c r="E30" i="21"/>
  <c r="F5" i="21"/>
  <c r="F27" i="21" s="1"/>
  <c r="D11" i="21"/>
  <c r="D24" i="21" s="1"/>
  <c r="D25" i="21" s="1"/>
  <c r="E11" i="21"/>
  <c r="E24" i="21" s="1"/>
  <c r="E25" i="21" s="1"/>
  <c r="D27" i="21"/>
  <c r="D30" i="21"/>
  <c r="G5" i="21" l="1"/>
  <c r="G11" i="21" s="1"/>
  <c r="G24" i="21" s="1"/>
  <c r="G25" i="21" s="1"/>
  <c r="F11" i="21"/>
  <c r="F24" i="21" s="1"/>
  <c r="F25" i="21" s="1"/>
  <c r="F30" i="21"/>
  <c r="G27" i="21" l="1"/>
  <c r="G30" i="21"/>
  <c r="H5" i="21"/>
  <c r="H11" i="21" s="1"/>
  <c r="H24" i="21" s="1"/>
  <c r="H25" i="21" s="1"/>
  <c r="H27" i="21" l="1"/>
  <c r="I5" i="21"/>
  <c r="I30" i="21" s="1"/>
  <c r="H30" i="21"/>
  <c r="I11" i="21" l="1"/>
  <c r="I24" i="21" s="1"/>
  <c r="I25" i="21" s="1"/>
  <c r="O5" i="21"/>
  <c r="O7" i="21" s="1"/>
  <c r="O12" i="21" s="1"/>
  <c r="L5" i="21"/>
  <c r="I27" i="21"/>
  <c r="D8" i="21"/>
  <c r="D14" i="21" s="1"/>
  <c r="C23" i="1"/>
  <c r="D17" i="21" l="1"/>
  <c r="D22" i="21" s="1"/>
  <c r="D33" i="21" s="1"/>
  <c r="D43" i="21" s="1"/>
  <c r="D15" i="21"/>
  <c r="E8" i="21"/>
  <c r="E14" i="21" s="1"/>
  <c r="H26" i="1"/>
  <c r="G19" i="1"/>
  <c r="F19" i="1"/>
  <c r="E19" i="1"/>
  <c r="H4" i="1"/>
  <c r="D30" i="1"/>
  <c r="E11" i="1"/>
  <c r="E17" i="1" s="1"/>
  <c r="D11" i="1"/>
  <c r="E30" i="1"/>
  <c r="F30" i="1"/>
  <c r="G30" i="1"/>
  <c r="E26" i="1"/>
  <c r="F26" i="1"/>
  <c r="G26" i="1"/>
  <c r="E23" i="1"/>
  <c r="F23" i="1"/>
  <c r="G23" i="1"/>
  <c r="E20" i="1"/>
  <c r="F20" i="1"/>
  <c r="G20" i="1"/>
  <c r="F11" i="1"/>
  <c r="F15" i="1" s="1"/>
  <c r="G11" i="1"/>
  <c r="G15" i="1" s="1"/>
  <c r="E7" i="1"/>
  <c r="F7" i="1"/>
  <c r="G7" i="1"/>
  <c r="E4" i="1"/>
  <c r="F4" i="1"/>
  <c r="G4" i="1"/>
  <c r="H30" i="1"/>
  <c r="C30" i="1"/>
  <c r="C22" i="26" l="1"/>
  <c r="C33" i="26" s="1"/>
  <c r="C43" i="26" s="1"/>
  <c r="C15" i="26"/>
  <c r="C18" i="21"/>
  <c r="C22" i="21"/>
  <c r="C33" i="21" s="1"/>
  <c r="C43" i="21" s="1"/>
  <c r="C15" i="21"/>
  <c r="F8" i="21"/>
  <c r="F14" i="21" s="1"/>
  <c r="E17" i="21"/>
  <c r="E22" i="21" s="1"/>
  <c r="E33" i="21" s="1"/>
  <c r="E43" i="21" s="1"/>
  <c r="E15" i="21"/>
  <c r="E12" i="1"/>
  <c r="E15" i="1"/>
  <c r="G17" i="1"/>
  <c r="F17" i="1"/>
  <c r="G12" i="1"/>
  <c r="F12" i="1"/>
  <c r="F15" i="21" l="1"/>
  <c r="F17" i="21"/>
  <c r="F22" i="21" s="1"/>
  <c r="F33" i="21" s="1"/>
  <c r="F43" i="21" s="1"/>
  <c r="G8" i="21"/>
  <c r="G14" i="21" s="1"/>
  <c r="D26" i="1"/>
  <c r="C26" i="1"/>
  <c r="K26" i="1" s="1"/>
  <c r="H23" i="1"/>
  <c r="D23" i="1"/>
  <c r="H20" i="1"/>
  <c r="D20" i="1"/>
  <c r="H19" i="1"/>
  <c r="D19" i="1"/>
  <c r="C20" i="1"/>
  <c r="C19" i="1"/>
  <c r="H11" i="1"/>
  <c r="D17" i="1"/>
  <c r="C11" i="1"/>
  <c r="C15" i="1" s="1"/>
  <c r="H7" i="1"/>
  <c r="D7" i="1"/>
  <c r="C7" i="1"/>
  <c r="D4" i="1"/>
  <c r="I8" i="21" l="1"/>
  <c r="H8" i="21"/>
  <c r="H14" i="21" s="1"/>
  <c r="G15" i="21"/>
  <c r="G17" i="21"/>
  <c r="G22" i="21" s="1"/>
  <c r="G33" i="21" s="1"/>
  <c r="G43" i="21" s="1"/>
  <c r="D15" i="1"/>
  <c r="D12" i="1"/>
  <c r="C12" i="1"/>
  <c r="C17" i="1"/>
  <c r="H12" i="1"/>
  <c r="H15" i="1"/>
  <c r="H17" i="1"/>
  <c r="L7" i="21" l="1"/>
  <c r="L29" i="21"/>
  <c r="L31" i="21" s="1"/>
  <c r="L36" i="21" s="1"/>
  <c r="H15" i="21"/>
  <c r="H17" i="21"/>
  <c r="H22" i="21" s="1"/>
  <c r="H33" i="21" s="1"/>
  <c r="H43" i="21" s="1"/>
  <c r="L12" i="21"/>
  <c r="I14" i="21"/>
  <c r="I15" i="21" l="1"/>
  <c r="I17" i="21"/>
  <c r="I22" i="21" s="1"/>
  <c r="I33" i="21" s="1"/>
  <c r="I43" i="21" s="1"/>
  <c r="L35" i="21" s="1"/>
  <c r="L39" i="21" s="1"/>
  <c r="L42" i="21" s="1"/>
  <c r="L46" i="21" s="1"/>
  <c r="L48" i="21" s="1"/>
  <c r="L37" i="21" l="1"/>
  <c r="L11" i="21"/>
  <c r="L15" i="21" s="1"/>
  <c r="O11" i="21"/>
  <c r="O15" i="21" s="1"/>
  <c r="O18" i="21" l="1"/>
  <c r="O22" i="21" s="1"/>
  <c r="O24" i="21" s="1"/>
  <c r="O13" i="21"/>
  <c r="L18" i="21"/>
  <c r="L22" i="21" s="1"/>
  <c r="L24" i="21" s="1"/>
  <c r="L13" i="21"/>
  <c r="C51" i="21" l="1"/>
  <c r="H14" i="32" l="1"/>
  <c r="I14" i="32"/>
  <c r="F14" i="32"/>
  <c r="G14" i="32"/>
  <c r="J14" i="32"/>
  <c r="K14" i="32"/>
  <c r="E14" i="32"/>
  <c r="C14" i="32"/>
  <c r="D14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Evenson</author>
  </authors>
  <commentList>
    <comment ref="C6" authorId="0" shapeId="0" xr:uid="{5E5F0536-889E-4079-8A4F-FB9F4C6EF4D5}">
      <text>
        <r>
          <rPr>
            <b/>
            <sz val="9"/>
            <color indexed="81"/>
            <rFont val="Tahoma"/>
            <family val="2"/>
          </rPr>
          <t>Sofia Evenson:</t>
        </r>
        <r>
          <rPr>
            <sz val="9"/>
            <color indexed="81"/>
            <rFont val="Tahoma"/>
            <family val="2"/>
          </rPr>
          <t xml:space="preserve">
Bloomberg defaults to Swiss Francs and some other comps are non USD default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<sst xmlns="http://schemas.openxmlformats.org/spreadsheetml/2006/main" count="747" uniqueCount="206">
  <si>
    <t>Dates</t>
  </si>
  <si>
    <t>Sales</t>
  </si>
  <si>
    <t xml:space="preserve">*I used revenue from the Income Statement and the 2024 estimates for 9/30/2024 </t>
  </si>
  <si>
    <t>% Sales Growth</t>
  </si>
  <si>
    <t>EBITDA</t>
  </si>
  <si>
    <t>*CF statement</t>
  </si>
  <si>
    <t>EBITDA Margin</t>
  </si>
  <si>
    <t>Depreciation and Amortization</t>
  </si>
  <si>
    <t>*Top of the CF statement (perating activities section)</t>
  </si>
  <si>
    <t>EBIT</t>
  </si>
  <si>
    <t>EBIT Margin</t>
  </si>
  <si>
    <t>Taxes</t>
  </si>
  <si>
    <t>*I used " - Income tax expense (benefit) from the Income Statement</t>
  </si>
  <si>
    <t>Tax Rate</t>
  </si>
  <si>
    <t xml:space="preserve">*Might need to use the Cash paid for taxes from the CF statement </t>
  </si>
  <si>
    <t>EBIAT</t>
  </si>
  <si>
    <t xml:space="preserve"> Depreciation and Amortization</t>
  </si>
  <si>
    <t>D&amp;A/Sales</t>
  </si>
  <si>
    <t xml:space="preserve"> Capex</t>
  </si>
  <si>
    <t>Capex/Sales</t>
  </si>
  <si>
    <t>Less  Increase (or Plus Decrease) in NWC</t>
  </si>
  <si>
    <t>*I used - Change in Non -Cash Working Capital (under Cash from operating activities) in the CF statement</t>
  </si>
  <si>
    <t>NWC/Sales</t>
  </si>
  <si>
    <t>Average</t>
  </si>
  <si>
    <t>Stock-Based Compensation (if "material")</t>
  </si>
  <si>
    <t>*I got this from the Cash from Operating Activities sections of the Cashflow Statement</t>
  </si>
  <si>
    <t>SBC/Sales</t>
  </si>
  <si>
    <t>DECK</t>
  </si>
  <si>
    <t>LULU</t>
  </si>
  <si>
    <t>Total</t>
  </si>
  <si>
    <t>Historical Data</t>
  </si>
  <si>
    <t>Date</t>
  </si>
  <si>
    <t>Current LTM</t>
  </si>
  <si>
    <t xml:space="preserve">Hictorical </t>
  </si>
  <si>
    <t xml:space="preserve"> </t>
  </si>
  <si>
    <t>Net Capex</t>
  </si>
  <si>
    <t>Discounted Cash Flow Model - H-Model</t>
  </si>
  <si>
    <t>Operating Scenario</t>
  </si>
  <si>
    <t>H-Model</t>
  </si>
  <si>
    <t>LT Growth Rate</t>
  </si>
  <si>
    <t>Current</t>
  </si>
  <si>
    <t>WACC</t>
  </si>
  <si>
    <t>Real GDP Growth</t>
  </si>
  <si>
    <t>Terminal Year UFCF</t>
  </si>
  <si>
    <t>10 yrs Breakeven Inflation</t>
  </si>
  <si>
    <t>Industry Beta</t>
  </si>
  <si>
    <t>Short Term Growth Rate</t>
  </si>
  <si>
    <t>Nominal Growth Rate</t>
  </si>
  <si>
    <t>Transition Period (years)</t>
  </si>
  <si>
    <t>LT Growth rate</t>
  </si>
  <si>
    <t>Long Term Normal Growth Rate</t>
  </si>
  <si>
    <t>Terminal Value</t>
  </si>
  <si>
    <t>Discount Factor</t>
  </si>
  <si>
    <t>Enterprise Value</t>
  </si>
  <si>
    <t>Cumulative PV of UFCF</t>
  </si>
  <si>
    <t>PV of Terminal Value</t>
  </si>
  <si>
    <t>% of Enterprise Value</t>
  </si>
  <si>
    <t>Unlevered Free Cash Flow</t>
  </si>
  <si>
    <t>Implied Equity Value</t>
  </si>
  <si>
    <t>Total Debt</t>
  </si>
  <si>
    <t>Minority Interest</t>
  </si>
  <si>
    <t>Cash and Cash Equivalents</t>
  </si>
  <si>
    <t>Implied Equity Value (Market Cap)</t>
  </si>
  <si>
    <t>Fully Diluted Shares Outstanding</t>
  </si>
  <si>
    <t>Implied Price Per Share</t>
  </si>
  <si>
    <t>Sensitivity Table</t>
  </si>
  <si>
    <t>H-Model: Period Of High Growth Beyound Projection</t>
  </si>
  <si>
    <t>Unlevered Free Cash Flow to the Firm</t>
  </si>
  <si>
    <t>Discounting of Annual Free Cash Flow</t>
  </si>
  <si>
    <t>Discount Period (Mid-Year Convention)</t>
  </si>
  <si>
    <t>PVLS Factor</t>
  </si>
  <si>
    <t>Present Value of Free Cash Flow</t>
  </si>
  <si>
    <t>Discounted Cash Flow Model - EV/EBITDA</t>
  </si>
  <si>
    <t>Terminal Year EBITDA</t>
  </si>
  <si>
    <t>Enterprise Value:</t>
  </si>
  <si>
    <t xml:space="preserve">Multiple </t>
  </si>
  <si>
    <t>Comparable Companiese Base Data</t>
  </si>
  <si>
    <t>TARGET Firm</t>
  </si>
  <si>
    <t>ONON</t>
  </si>
  <si>
    <t>BIRK</t>
  </si>
  <si>
    <t>ADDYY</t>
  </si>
  <si>
    <t>PBYI</t>
  </si>
  <si>
    <t>ASCCY</t>
  </si>
  <si>
    <t>AS</t>
  </si>
  <si>
    <t>CROX</t>
  </si>
  <si>
    <t>SHOO</t>
  </si>
  <si>
    <t>SKX</t>
  </si>
  <si>
    <t>WWW</t>
  </si>
  <si>
    <t xml:space="preserve">On Holdings </t>
  </si>
  <si>
    <t>Birkenstock Holding</t>
  </si>
  <si>
    <t>Adidas US Equity</t>
  </si>
  <si>
    <t>Currency</t>
  </si>
  <si>
    <t>USD</t>
  </si>
  <si>
    <t>Far Forecast Revenue</t>
  </si>
  <si>
    <t>Far Forecast Date</t>
  </si>
  <si>
    <t>LTM Revenue</t>
  </si>
  <si>
    <t>LTM Date</t>
  </si>
  <si>
    <t>LTM Gross Profit</t>
  </si>
  <si>
    <t>LTM EBITDA</t>
  </si>
  <si>
    <t xml:space="preserve">LTM EBIT </t>
  </si>
  <si>
    <t>LTM OCF</t>
  </si>
  <si>
    <t>LFY FCF</t>
  </si>
  <si>
    <t>Debt</t>
  </si>
  <si>
    <t>Market Cap</t>
  </si>
  <si>
    <t>Rev Forecast Mo.</t>
  </si>
  <si>
    <t>Rev Forecast Yrs.</t>
  </si>
  <si>
    <t>Exp. Rev. Growth</t>
  </si>
  <si>
    <t>Gross Profit Margin</t>
  </si>
  <si>
    <t>OCF Margin</t>
  </si>
  <si>
    <t>FCF Margin</t>
  </si>
  <si>
    <t>Debt/Debt+Equity Margin</t>
  </si>
  <si>
    <t>Sort Data</t>
  </si>
  <si>
    <t>Value Drivers</t>
  </si>
  <si>
    <t>Debt/Debt+Equity</t>
  </si>
  <si>
    <t>Sort Summary</t>
  </si>
  <si>
    <t>Final Selections</t>
  </si>
  <si>
    <t>Direct Valuation</t>
  </si>
  <si>
    <t>Multiples from Comps</t>
  </si>
  <si>
    <t>% Difference Calculation</t>
  </si>
  <si>
    <t>Mean</t>
  </si>
  <si>
    <t>Median</t>
  </si>
  <si>
    <t>% Diff</t>
  </si>
  <si>
    <t>P/E</t>
  </si>
  <si>
    <t>P/B</t>
  </si>
  <si>
    <t>P/BV</t>
  </si>
  <si>
    <t>P/TBV</t>
  </si>
  <si>
    <t>P/OCF</t>
  </si>
  <si>
    <t>P/FCF</t>
  </si>
  <si>
    <t>Price Multiples Per Share</t>
  </si>
  <si>
    <t>Per share data</t>
  </si>
  <si>
    <t>2025 Y EST</t>
  </si>
  <si>
    <t>Book Value Per Share</t>
  </si>
  <si>
    <t xml:space="preserve">Direct Valuation </t>
  </si>
  <si>
    <t>Tangible Book Value Per Share</t>
  </si>
  <si>
    <t>/</t>
  </si>
  <si>
    <t xml:space="preserve">Selected Metric </t>
  </si>
  <si>
    <t>Earnings Per Share (normalized net income)</t>
  </si>
  <si>
    <t>OCF Per Share</t>
  </si>
  <si>
    <t>ONON OCF/Share</t>
  </si>
  <si>
    <t>FCF Per Share</t>
  </si>
  <si>
    <t xml:space="preserve">Median Multiple </t>
  </si>
  <si>
    <t>Implied Share Price</t>
  </si>
  <si>
    <t>Indirect Valuation</t>
  </si>
  <si>
    <t>EV/S</t>
  </si>
  <si>
    <t>EV/EBITDA</t>
  </si>
  <si>
    <t>EV/EBIT</t>
  </si>
  <si>
    <t xml:space="preserve">Indirect Valuation </t>
  </si>
  <si>
    <t>Selected Metric</t>
  </si>
  <si>
    <t>Median Multiple</t>
  </si>
  <si>
    <t>ONON Est. EV</t>
  </si>
  <si>
    <t xml:space="preserve">   Less Debt</t>
  </si>
  <si>
    <t xml:space="preserve">   Preferred Stock/Minority Interest</t>
  </si>
  <si>
    <t>Plus Cash</t>
  </si>
  <si>
    <t>ONON EQ Val</t>
  </si>
  <si>
    <t>Wacc Calculation</t>
  </si>
  <si>
    <t>WACC Calculation</t>
  </si>
  <si>
    <t>WACC Calculation - SMIF Template</t>
  </si>
  <si>
    <t>Cost of Debt</t>
  </si>
  <si>
    <t xml:space="preserve">Capital Structure </t>
  </si>
  <si>
    <t>Interest Expense</t>
  </si>
  <si>
    <t>Net Debt</t>
  </si>
  <si>
    <t>Market Value of Equity</t>
  </si>
  <si>
    <t>Income Tax Expense</t>
  </si>
  <si>
    <t>Income Before Tax</t>
  </si>
  <si>
    <t>Debt to Total Capitalization</t>
  </si>
  <si>
    <t>Effective Tax Rate</t>
  </si>
  <si>
    <t>Equity to Total Capitalization</t>
  </si>
  <si>
    <t>Cost of Debt after Tax</t>
  </si>
  <si>
    <t>Debt / Equity</t>
  </si>
  <si>
    <t>Cost of Equity</t>
  </si>
  <si>
    <t>Risk Free Rate</t>
  </si>
  <si>
    <t>Cost of Equity Calculation</t>
  </si>
  <si>
    <t>Beta</t>
  </si>
  <si>
    <t>Market Return</t>
  </si>
  <si>
    <t>Equity Risk Premium</t>
  </si>
  <si>
    <t>Levered Beta</t>
  </si>
  <si>
    <t>Weight of Debt and Equity</t>
  </si>
  <si>
    <t>Cost of Debt Calculation</t>
  </si>
  <si>
    <t>Pre Tax Cost of Debt</t>
  </si>
  <si>
    <t>Measuring Equity through CAPM</t>
  </si>
  <si>
    <t>After-Tax Cost of Debt</t>
  </si>
  <si>
    <t xml:space="preserve">*You'll see in the DCF models, I used 10.8% as a relatively conservative estimate inbetween the two different calculations </t>
  </si>
  <si>
    <t>GAP</t>
  </si>
  <si>
    <t>Kering SA</t>
  </si>
  <si>
    <t>ADS GY</t>
  </si>
  <si>
    <t>COLM US</t>
  </si>
  <si>
    <t>Columbia Sportswear</t>
  </si>
  <si>
    <t>UAA US</t>
  </si>
  <si>
    <t>Under Armour</t>
  </si>
  <si>
    <t>VSCO US</t>
  </si>
  <si>
    <t>Victoria's Secret</t>
  </si>
  <si>
    <t>URBN US</t>
  </si>
  <si>
    <t>Urban Outfitter</t>
  </si>
  <si>
    <t>Nike Inc</t>
  </si>
  <si>
    <t>NKE US</t>
  </si>
  <si>
    <t>KERING SA</t>
  </si>
  <si>
    <t>URBN</t>
  </si>
  <si>
    <t>KERING</t>
  </si>
  <si>
    <t>LULU Sales</t>
  </si>
  <si>
    <t>EV/SALES</t>
  </si>
  <si>
    <t>Change In NWC</t>
  </si>
  <si>
    <t>Change in NWC</t>
  </si>
  <si>
    <t>Comps EV/Sales Multiple</t>
  </si>
  <si>
    <t>Terminal Year Sales</t>
  </si>
  <si>
    <t>Net income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</si>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</sst>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_);[Red]\(0.0\)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"/>
    <numFmt numFmtId="170" formatCode="&quot;$&quot;#,##0.0"/>
    <numFmt numFmtId="171" formatCode="&quot;$&quot;#,##0.00"/>
    <numFmt numFmtId="172" formatCode="&quot;FY&quot;\ 0"/>
    <numFmt numFmtId="173" formatCode="_(#,##0.00%_);\(#,##0.00%\);_(&quot;–&quot;_);_(@_)"/>
    <numFmt numFmtId="174" formatCode="_-* #,##0.0_-;\-* #,##0.0_-;_-* &quot;-&quot;??_-;_-@"/>
    <numFmt numFmtId="175" formatCode="_(#,##0.00_);\(#,##0.00\);_(&quot;–&quot;_);_(@_)"/>
    <numFmt numFmtId="176" formatCode="#,##0.0_);[Red]\(#,##0.0\)"/>
    <numFmt numFmtId="177" formatCode="00.0\x"/>
    <numFmt numFmtId="178" formatCode="_(* #,##0.0_);_(* \(#,##0.0\);_(* &quot;-&quot;??_);_(@_)"/>
    <numFmt numFmtId="179" formatCode="_(#,##0.0%_);\(#,##0.0%\);_(&quot;–&quot;_);_(@_)"/>
    <numFmt numFmtId="180" formatCode="#,##0.0"/>
    <numFmt numFmtId="181" formatCode="_-* #,##0_-;\-* #,##0_-;_-* &quot;-&quot;??_-;_-@"/>
    <numFmt numFmtId="182" formatCode="0.0\x"/>
    <numFmt numFmtId="183" formatCode="&quot;$&quot;#,##0.0_);[Red]\(&quot;$&quot;#,##0.0\)"/>
    <numFmt numFmtId="184" formatCode="0_);[Red]\(0\)"/>
    <numFmt numFmtId="185" formatCode="0.000%"/>
    <numFmt numFmtId="186" formatCode="_(* #,##0.0_);_(* \(#,##0.0\);_(* &quot;-&quot;?_);_(@_)"/>
    <numFmt numFmtId="187" formatCode="&quot;FY&quot;0&quot;E&quot;"/>
    <numFmt numFmtId="188" formatCode="&quot;FY&quot;\ 0&quot;E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36"/>
      <color theme="0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0"/>
      <name val="Garamond"/>
      <family val="1"/>
    </font>
    <font>
      <sz val="14"/>
      <color theme="1"/>
      <name val="Garamond"/>
      <family val="1"/>
    </font>
    <font>
      <b/>
      <sz val="14"/>
      <color theme="1"/>
      <name val="Garamond"/>
      <family val="1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7" tint="-0.499984740745262"/>
      <name val="Times New Roman"/>
      <family val="1"/>
    </font>
    <font>
      <sz val="36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3" tint="9.9978637043366805E-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440000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rgb="FF000000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000066"/>
        <bgColor indexed="64"/>
      </patternFill>
    </fill>
    <fill>
      <patternFill patternType="solid">
        <fgColor rgb="FF000066"/>
        <bgColor rgb="FF073763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73763"/>
      </patternFill>
    </fill>
    <fill>
      <patternFill patternType="solid">
        <fgColor rgb="FF002060"/>
        <bgColor rgb="FF1C4587"/>
      </patternFill>
    </fill>
    <fill>
      <patternFill patternType="solid">
        <fgColor rgb="FF00503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1B9A4"/>
        <bgColor indexed="64"/>
      </patternFill>
    </fill>
    <fill>
      <patternFill patternType="solid">
        <fgColor rgb="FF91B9A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5F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rgb="FFD8D8D8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F57322"/>
      </bottom>
      <diagonal/>
    </border>
    <border>
      <left/>
      <right style="medium">
        <color indexed="64"/>
      </right>
      <top/>
      <bottom style="thin">
        <color rgb="FFF57322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" fontId="5" fillId="0" borderId="0"/>
    <xf numFmtId="44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475">
    <xf numFmtId="0" fontId="0" fillId="0" borderId="0" xfId="0"/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44" fontId="0" fillId="0" borderId="0" xfId="2" applyFont="1"/>
    <xf numFmtId="167" fontId="0" fillId="0" borderId="0" xfId="2" applyNumberFormat="1" applyFont="1"/>
    <xf numFmtId="168" fontId="0" fillId="0" borderId="0" xfId="2" applyNumberFormat="1" applyFont="1"/>
    <xf numFmtId="14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7" fontId="0" fillId="0" borderId="1" xfId="2" applyNumberFormat="1" applyFont="1" applyFill="1" applyBorder="1"/>
    <xf numFmtId="168" fontId="0" fillId="0" borderId="1" xfId="2" applyNumberFormat="1" applyFont="1" applyFill="1" applyBorder="1"/>
    <xf numFmtId="167" fontId="0" fillId="0" borderId="1" xfId="2" applyNumberFormat="1" applyFont="1" applyBorder="1"/>
    <xf numFmtId="168" fontId="3" fillId="0" borderId="0" xfId="2" applyNumberFormat="1" applyFont="1"/>
    <xf numFmtId="167" fontId="4" fillId="0" borderId="0" xfId="2" applyNumberFormat="1" applyFont="1" applyAlignment="1">
      <alignment wrapText="1"/>
    </xf>
    <xf numFmtId="0" fontId="2" fillId="4" borderId="1" xfId="0" applyFont="1" applyFill="1" applyBorder="1"/>
    <xf numFmtId="0" fontId="0" fillId="2" borderId="1" xfId="0" applyFill="1" applyBorder="1"/>
    <xf numFmtId="10" fontId="0" fillId="2" borderId="1" xfId="0" applyNumberFormat="1" applyFill="1" applyBorder="1"/>
    <xf numFmtId="9" fontId="0" fillId="0" borderId="1" xfId="1" applyFont="1" applyBorder="1"/>
    <xf numFmtId="164" fontId="0" fillId="2" borderId="1" xfId="0" applyNumberFormat="1" applyFill="1" applyBorder="1"/>
    <xf numFmtId="168" fontId="2" fillId="0" borderId="1" xfId="2" applyNumberFormat="1" applyFont="1" applyBorder="1"/>
    <xf numFmtId="0" fontId="2" fillId="2" borderId="1" xfId="0" applyFont="1" applyFill="1" applyBorder="1" applyAlignment="1">
      <alignment horizontal="right"/>
    </xf>
    <xf numFmtId="167" fontId="2" fillId="0" borderId="1" xfId="2" applyNumberFormat="1" applyFont="1" applyBorder="1"/>
    <xf numFmtId="167" fontId="3" fillId="0" borderId="0" xfId="2" applyNumberFormat="1" applyFont="1"/>
    <xf numFmtId="0" fontId="0" fillId="4" borderId="0" xfId="0" applyFill="1"/>
    <xf numFmtId="0" fontId="8" fillId="4" borderId="0" xfId="0" applyFont="1" applyFill="1"/>
    <xf numFmtId="0" fontId="10" fillId="4" borderId="0" xfId="0" applyFont="1" applyFill="1"/>
    <xf numFmtId="0" fontId="10" fillId="4" borderId="21" xfId="0" applyFont="1" applyFill="1" applyBorder="1"/>
    <xf numFmtId="173" fontId="8" fillId="4" borderId="0" xfId="0" applyNumberFormat="1" applyFont="1" applyFill="1"/>
    <xf numFmtId="0" fontId="10" fillId="4" borderId="22" xfId="0" applyFont="1" applyFill="1" applyBorder="1"/>
    <xf numFmtId="164" fontId="8" fillId="4" borderId="23" xfId="1" applyNumberFormat="1" applyFont="1" applyFill="1" applyBorder="1" applyAlignment="1">
      <alignment horizontal="right"/>
    </xf>
    <xf numFmtId="0" fontId="11" fillId="7" borderId="0" xfId="0" applyFont="1" applyFill="1"/>
    <xf numFmtId="174" fontId="10" fillId="7" borderId="21" xfId="0" applyNumberFormat="1" applyFont="1" applyFill="1" applyBorder="1"/>
    <xf numFmtId="174" fontId="10" fillId="7" borderId="0" xfId="0" applyNumberFormat="1" applyFont="1" applyFill="1"/>
    <xf numFmtId="171" fontId="8" fillId="4" borderId="0" xfId="2" applyNumberFormat="1" applyFont="1" applyFill="1" applyBorder="1" applyAlignment="1">
      <alignment wrapText="1"/>
    </xf>
    <xf numFmtId="0" fontId="10" fillId="4" borderId="2" xfId="0" applyFont="1" applyFill="1" applyBorder="1"/>
    <xf numFmtId="164" fontId="8" fillId="4" borderId="3" xfId="1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164" fontId="10" fillId="4" borderId="21" xfId="0" applyNumberFormat="1" applyFont="1" applyFill="1" applyBorder="1"/>
    <xf numFmtId="164" fontId="10" fillId="4" borderId="0" xfId="0" applyNumberFormat="1" applyFont="1" applyFill="1"/>
    <xf numFmtId="166" fontId="8" fillId="4" borderId="0" xfId="0" applyNumberFormat="1" applyFont="1" applyFill="1"/>
    <xf numFmtId="0" fontId="8" fillId="4" borderId="2" xfId="0" applyFont="1" applyFill="1" applyBorder="1"/>
    <xf numFmtId="175" fontId="8" fillId="4" borderId="3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left"/>
    </xf>
    <xf numFmtId="164" fontId="8" fillId="4" borderId="0" xfId="1" applyNumberFormat="1" applyFont="1" applyFill="1" applyBorder="1"/>
    <xf numFmtId="0" fontId="11" fillId="7" borderId="0" xfId="0" applyFont="1" applyFill="1" applyAlignment="1">
      <alignment horizontal="left"/>
    </xf>
    <xf numFmtId="1" fontId="8" fillId="4" borderId="0" xfId="1" applyNumberFormat="1" applyFont="1" applyFill="1" applyBorder="1"/>
    <xf numFmtId="0" fontId="8" fillId="4" borderId="6" xfId="0" applyFont="1" applyFill="1" applyBorder="1"/>
    <xf numFmtId="10" fontId="8" fillId="4" borderId="24" xfId="1" applyNumberFormat="1" applyFont="1" applyFill="1" applyBorder="1" applyAlignment="1">
      <alignment horizontal="right"/>
    </xf>
    <xf numFmtId="2" fontId="8" fillId="4" borderId="0" xfId="0" applyNumberFormat="1" applyFont="1" applyFill="1"/>
    <xf numFmtId="176" fontId="10" fillId="7" borderId="0" xfId="0" applyNumberFormat="1" applyFont="1" applyFill="1"/>
    <xf numFmtId="169" fontId="8" fillId="4" borderId="0" xfId="2" applyNumberFormat="1" applyFont="1" applyFill="1" applyAlignment="1">
      <alignment horizontal="right" wrapText="1"/>
    </xf>
    <xf numFmtId="169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0" fontId="8" fillId="4" borderId="0" xfId="0" applyNumberFormat="1" applyFont="1" applyFill="1" applyAlignment="1">
      <alignment horizontal="right"/>
    </xf>
    <xf numFmtId="164" fontId="10" fillId="4" borderId="5" xfId="0" applyNumberFormat="1" applyFont="1" applyFill="1" applyBorder="1"/>
    <xf numFmtId="0" fontId="8" fillId="4" borderId="0" xfId="0" applyFont="1" applyFill="1" applyAlignment="1">
      <alignment horizontal="right"/>
    </xf>
    <xf numFmtId="6" fontId="8" fillId="4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165" fontId="10" fillId="7" borderId="21" xfId="0" applyNumberFormat="1" applyFont="1" applyFill="1" applyBorder="1"/>
    <xf numFmtId="165" fontId="10" fillId="7" borderId="0" xfId="0" applyNumberFormat="1" applyFont="1" applyFill="1"/>
    <xf numFmtId="0" fontId="8" fillId="0" borderId="9" xfId="0" applyFont="1" applyBorder="1"/>
    <xf numFmtId="178" fontId="10" fillId="7" borderId="5" xfId="0" applyNumberFormat="1" applyFont="1" applyFill="1" applyBorder="1"/>
    <xf numFmtId="178" fontId="10" fillId="7" borderId="0" xfId="0" applyNumberFormat="1" applyFont="1" applyFill="1"/>
    <xf numFmtId="0" fontId="10" fillId="7" borderId="21" xfId="0" applyFont="1" applyFill="1" applyBorder="1"/>
    <xf numFmtId="0" fontId="10" fillId="7" borderId="0" xfId="0" applyFont="1" applyFill="1"/>
    <xf numFmtId="164" fontId="10" fillId="7" borderId="21" xfId="0" applyNumberFormat="1" applyFont="1" applyFill="1" applyBorder="1"/>
    <xf numFmtId="164" fontId="10" fillId="7" borderId="0" xfId="0" applyNumberFormat="1" applyFont="1" applyFill="1"/>
    <xf numFmtId="2" fontId="10" fillId="7" borderId="21" xfId="0" applyNumberFormat="1" applyFont="1" applyFill="1" applyBorder="1"/>
    <xf numFmtId="2" fontId="10" fillId="7" borderId="0" xfId="0" applyNumberFormat="1" applyFont="1" applyFill="1"/>
    <xf numFmtId="171" fontId="10" fillId="7" borderId="5" xfId="0" applyNumberFormat="1" applyFont="1" applyFill="1" applyBorder="1"/>
    <xf numFmtId="171" fontId="10" fillId="7" borderId="0" xfId="0" applyNumberFormat="1" applyFont="1" applyFill="1"/>
    <xf numFmtId="177" fontId="8" fillId="4" borderId="0" xfId="0" applyNumberFormat="1" applyFont="1" applyFill="1"/>
    <xf numFmtId="10" fontId="8" fillId="4" borderId="0" xfId="1" applyNumberFormat="1" applyFont="1" applyFill="1" applyBorder="1"/>
    <xf numFmtId="179" fontId="8" fillId="4" borderId="0" xfId="0" applyNumberFormat="1" applyFont="1" applyFill="1"/>
    <xf numFmtId="171" fontId="9" fillId="4" borderId="22" xfId="4" applyNumberFormat="1" applyFont="1" applyFill="1" applyBorder="1"/>
    <xf numFmtId="0" fontId="8" fillId="4" borderId="26" xfId="0" applyFont="1" applyFill="1" applyBorder="1"/>
    <xf numFmtId="1" fontId="8" fillId="4" borderId="26" xfId="0" applyNumberFormat="1" applyFont="1" applyFill="1" applyBorder="1"/>
    <xf numFmtId="0" fontId="8" fillId="4" borderId="27" xfId="0" applyFont="1" applyFill="1" applyBorder="1"/>
    <xf numFmtId="10" fontId="8" fillId="4" borderId="2" xfId="1" applyNumberFormat="1" applyFont="1" applyFill="1" applyBorder="1"/>
    <xf numFmtId="44" fontId="8" fillId="4" borderId="22" xfId="4" applyFont="1" applyFill="1" applyBorder="1"/>
    <xf numFmtId="44" fontId="8" fillId="4" borderId="26" xfId="4" applyFont="1" applyFill="1" applyBorder="1"/>
    <xf numFmtId="44" fontId="8" fillId="4" borderId="27" xfId="4" applyFont="1" applyFill="1" applyBorder="1"/>
    <xf numFmtId="44" fontId="8" fillId="4" borderId="2" xfId="4" applyFont="1" applyFill="1" applyBorder="1"/>
    <xf numFmtId="44" fontId="8" fillId="4" borderId="23" xfId="4" applyFont="1" applyFill="1" applyBorder="1"/>
    <xf numFmtId="44" fontId="8" fillId="4" borderId="29" xfId="4" applyFont="1" applyFill="1" applyBorder="1"/>
    <xf numFmtId="44" fontId="12" fillId="4" borderId="0" xfId="4" applyFont="1" applyFill="1" applyBorder="1"/>
    <xf numFmtId="44" fontId="8" fillId="4" borderId="3" xfId="4" applyFont="1" applyFill="1" applyBorder="1"/>
    <xf numFmtId="44" fontId="8" fillId="4" borderId="6" xfId="4" applyFont="1" applyFill="1" applyBorder="1"/>
    <xf numFmtId="44" fontId="8" fillId="4" borderId="4" xfId="4" applyFont="1" applyFill="1" applyBorder="1"/>
    <xf numFmtId="44" fontId="8" fillId="4" borderId="24" xfId="4" applyFont="1" applyFill="1" applyBorder="1"/>
    <xf numFmtId="10" fontId="8" fillId="4" borderId="31" xfId="1" applyNumberFormat="1" applyFont="1" applyFill="1" applyBorder="1"/>
    <xf numFmtId="44" fontId="8" fillId="4" borderId="31" xfId="4" applyFont="1" applyFill="1" applyBorder="1"/>
    <xf numFmtId="44" fontId="8" fillId="4" borderId="7" xfId="4" applyFont="1" applyFill="1" applyBorder="1"/>
    <xf numFmtId="44" fontId="8" fillId="4" borderId="32" xfId="4" applyFont="1" applyFill="1" applyBorder="1"/>
    <xf numFmtId="180" fontId="8" fillId="4" borderId="0" xfId="0" applyNumberFormat="1" applyFont="1" applyFill="1" applyAlignment="1">
      <alignment horizontal="right"/>
    </xf>
    <xf numFmtId="0" fontId="7" fillId="9" borderId="0" xfId="0" applyFont="1" applyFill="1"/>
    <xf numFmtId="172" fontId="7" fillId="9" borderId="20" xfId="0" applyNumberFormat="1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3" fillId="4" borderId="0" xfId="0" applyFont="1" applyFill="1"/>
    <xf numFmtId="171" fontId="8" fillId="4" borderId="0" xfId="2" applyNumberFormat="1" applyFont="1" applyFill="1" applyAlignment="1">
      <alignment wrapText="1"/>
    </xf>
    <xf numFmtId="181" fontId="8" fillId="4" borderId="0" xfId="0" applyNumberFormat="1" applyFont="1" applyFill="1" applyAlignment="1">
      <alignment horizontal="right"/>
    </xf>
    <xf numFmtId="164" fontId="8" fillId="4" borderId="0" xfId="1" applyNumberFormat="1" applyFont="1" applyFill="1" applyAlignment="1">
      <alignment horizontal="right"/>
    </xf>
    <xf numFmtId="175" fontId="8" fillId="4" borderId="0" xfId="0" applyNumberFormat="1" applyFont="1" applyFill="1" applyAlignment="1">
      <alignment horizontal="right"/>
    </xf>
    <xf numFmtId="10" fontId="8" fillId="4" borderId="0" xfId="1" applyNumberFormat="1" applyFont="1" applyFill="1" applyAlignment="1">
      <alignment horizontal="right"/>
    </xf>
    <xf numFmtId="0" fontId="15" fillId="0" borderId="9" xfId="0" applyFont="1" applyBorder="1"/>
    <xf numFmtId="171" fontId="14" fillId="4" borderId="2" xfId="4" applyNumberFormat="1" applyFont="1" applyFill="1" applyBorder="1"/>
    <xf numFmtId="177" fontId="8" fillId="4" borderId="29" xfId="0" applyNumberFormat="1" applyFont="1" applyFill="1" applyBorder="1"/>
    <xf numFmtId="164" fontId="15" fillId="4" borderId="2" xfId="1" applyNumberFormat="1" applyFont="1" applyFill="1" applyBorder="1"/>
    <xf numFmtId="44" fontId="15" fillId="0" borderId="22" xfId="4" applyFont="1" applyBorder="1"/>
    <xf numFmtId="44" fontId="15" fillId="0" borderId="26" xfId="4" applyFont="1" applyBorder="1"/>
    <xf numFmtId="44" fontId="15" fillId="0" borderId="27" xfId="4" applyFont="1" applyBorder="1"/>
    <xf numFmtId="44" fontId="15" fillId="0" borderId="2" xfId="4" applyFont="1" applyBorder="1"/>
    <xf numFmtId="44" fontId="15" fillId="0" borderId="0" xfId="4" applyFont="1"/>
    <xf numFmtId="44" fontId="15" fillId="0" borderId="29" xfId="4" applyFont="1" applyBorder="1"/>
    <xf numFmtId="44" fontId="16" fillId="0" borderId="0" xfId="4" applyFont="1"/>
    <xf numFmtId="164" fontId="15" fillId="4" borderId="31" xfId="1" applyNumberFormat="1" applyFont="1" applyFill="1" applyBorder="1"/>
    <xf numFmtId="44" fontId="15" fillId="0" borderId="31" xfId="4" applyFont="1" applyBorder="1"/>
    <xf numFmtId="44" fontId="15" fillId="0" borderId="7" xfId="4" applyFont="1" applyBorder="1"/>
    <xf numFmtId="44" fontId="15" fillId="0" borderId="32" xfId="4" applyFont="1" applyBorder="1"/>
    <xf numFmtId="0" fontId="7" fillId="11" borderId="0" xfId="0" applyFont="1" applyFill="1"/>
    <xf numFmtId="172" fontId="7" fillId="11" borderId="20" xfId="0" applyNumberFormat="1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12" borderId="0" xfId="0" applyFont="1" applyFill="1"/>
    <xf numFmtId="0" fontId="7" fillId="12" borderId="0" xfId="0" applyFont="1" applyFill="1" applyAlignment="1">
      <alignment horizontal="center" wrapText="1"/>
    </xf>
    <xf numFmtId="0" fontId="7" fillId="12" borderId="0" xfId="0" applyFont="1" applyFill="1" applyAlignment="1">
      <alignment horizontal="right" wrapText="1"/>
    </xf>
    <xf numFmtId="0" fontId="9" fillId="8" borderId="4" xfId="0" applyFont="1" applyFill="1" applyBorder="1" applyAlignment="1">
      <alignment horizontal="left"/>
    </xf>
    <xf numFmtId="0" fontId="0" fillId="4" borderId="9" xfId="0" applyFill="1" applyBorder="1"/>
    <xf numFmtId="0" fontId="6" fillId="13" borderId="0" xfId="0" applyFont="1" applyFill="1"/>
    <xf numFmtId="0" fontId="19" fillId="4" borderId="0" xfId="0" applyFont="1" applyFill="1"/>
    <xf numFmtId="0" fontId="21" fillId="4" borderId="0" xfId="0" applyFont="1" applyFill="1"/>
    <xf numFmtId="0" fontId="21" fillId="14" borderId="0" xfId="0" applyFont="1" applyFill="1" applyAlignment="1">
      <alignment vertical="center"/>
    </xf>
    <xf numFmtId="0" fontId="21" fillId="6" borderId="0" xfId="0" applyFont="1" applyFill="1" applyAlignment="1">
      <alignment wrapText="1"/>
    </xf>
    <xf numFmtId="0" fontId="21" fillId="14" borderId="0" xfId="0" applyFont="1" applyFill="1"/>
    <xf numFmtId="0" fontId="22" fillId="14" borderId="0" xfId="0" applyFont="1" applyFill="1"/>
    <xf numFmtId="0" fontId="22" fillId="4" borderId="0" xfId="0" applyFont="1" applyFill="1"/>
    <xf numFmtId="0" fontId="21" fillId="6" borderId="0" xfId="0" applyFont="1" applyFill="1"/>
    <xf numFmtId="0" fontId="21" fillId="6" borderId="9" xfId="0" applyFont="1" applyFill="1" applyBorder="1"/>
    <xf numFmtId="0" fontId="21" fillId="6" borderId="29" xfId="0" applyFont="1" applyFill="1" applyBorder="1"/>
    <xf numFmtId="0" fontId="20" fillId="4" borderId="0" xfId="0" applyFont="1" applyFill="1"/>
    <xf numFmtId="0" fontId="20" fillId="14" borderId="0" xfId="0" applyFont="1" applyFill="1"/>
    <xf numFmtId="0" fontId="19" fillId="6" borderId="0" xfId="0" applyFont="1" applyFill="1" applyAlignment="1">
      <alignment wrapText="1"/>
    </xf>
    <xf numFmtId="0" fontId="20" fillId="6" borderId="0" xfId="0" applyFont="1" applyFill="1" applyAlignment="1">
      <alignment wrapText="1"/>
    </xf>
    <xf numFmtId="0" fontId="20" fillId="6" borderId="0" xfId="0" applyFont="1" applyFill="1"/>
    <xf numFmtId="0" fontId="21" fillId="15" borderId="16" xfId="0" applyFont="1" applyFill="1" applyBorder="1"/>
    <xf numFmtId="169" fontId="21" fillId="16" borderId="17" xfId="0" applyNumberFormat="1" applyFont="1" applyFill="1" applyBorder="1"/>
    <xf numFmtId="0" fontId="21" fillId="4" borderId="16" xfId="0" applyFont="1" applyFill="1" applyBorder="1"/>
    <xf numFmtId="169" fontId="19" fillId="14" borderId="0" xfId="0" applyNumberFormat="1" applyFont="1" applyFill="1"/>
    <xf numFmtId="6" fontId="19" fillId="14" borderId="0" xfId="0" applyNumberFormat="1" applyFont="1" applyFill="1"/>
    <xf numFmtId="0" fontId="19" fillId="6" borderId="0" xfId="0" applyFont="1" applyFill="1"/>
    <xf numFmtId="0" fontId="21" fillId="16" borderId="16" xfId="0" applyFont="1" applyFill="1" applyBorder="1" applyAlignment="1">
      <alignment horizontal="left" indent="2"/>
    </xf>
    <xf numFmtId="14" fontId="21" fillId="16" borderId="17" xfId="0" applyNumberFormat="1" applyFont="1" applyFill="1" applyBorder="1"/>
    <xf numFmtId="0" fontId="21" fillId="4" borderId="16" xfId="0" applyFont="1" applyFill="1" applyBorder="1" applyAlignment="1">
      <alignment horizontal="left" indent="2"/>
    </xf>
    <xf numFmtId="14" fontId="19" fillId="14" borderId="0" xfId="0" applyNumberFormat="1" applyFont="1" applyFill="1"/>
    <xf numFmtId="0" fontId="21" fillId="16" borderId="16" xfId="0" applyFont="1" applyFill="1" applyBorder="1" applyAlignment="1">
      <alignment horizontal="left"/>
    </xf>
    <xf numFmtId="169" fontId="21" fillId="16" borderId="17" xfId="2" applyNumberFormat="1" applyFont="1" applyFill="1" applyBorder="1"/>
    <xf numFmtId="0" fontId="21" fillId="4" borderId="16" xfId="0" applyFont="1" applyFill="1" applyBorder="1" applyAlignment="1">
      <alignment horizontal="left"/>
    </xf>
    <xf numFmtId="14" fontId="21" fillId="16" borderId="17" xfId="2" applyNumberFormat="1" applyFont="1" applyFill="1" applyBorder="1"/>
    <xf numFmtId="0" fontId="21" fillId="16" borderId="16" xfId="0" applyFont="1" applyFill="1" applyBorder="1"/>
    <xf numFmtId="170" fontId="19" fillId="14" borderId="0" xfId="0" applyNumberFormat="1" applyFont="1" applyFill="1"/>
    <xf numFmtId="0" fontId="21" fillId="16" borderId="14" xfId="0" applyFont="1" applyFill="1" applyBorder="1"/>
    <xf numFmtId="169" fontId="21" fillId="16" borderId="15" xfId="0" applyNumberFormat="1" applyFont="1" applyFill="1" applyBorder="1"/>
    <xf numFmtId="0" fontId="21" fillId="4" borderId="14" xfId="0" applyFont="1" applyFill="1" applyBorder="1"/>
    <xf numFmtId="0" fontId="19" fillId="6" borderId="12" xfId="0" applyFont="1" applyFill="1" applyBorder="1"/>
    <xf numFmtId="0" fontId="19" fillId="6" borderId="7" xfId="0" applyFont="1" applyFill="1" applyBorder="1"/>
    <xf numFmtId="1" fontId="19" fillId="6" borderId="7" xfId="0" applyNumberFormat="1" applyFont="1" applyFill="1" applyBorder="1"/>
    <xf numFmtId="2" fontId="19" fillId="6" borderId="7" xfId="0" applyNumberFormat="1" applyFont="1" applyFill="1" applyBorder="1"/>
    <xf numFmtId="0" fontId="19" fillId="6" borderId="39" xfId="0" applyFont="1" applyFill="1" applyBorder="1"/>
    <xf numFmtId="164" fontId="19" fillId="6" borderId="27" xfId="0" applyNumberFormat="1" applyFont="1" applyFill="1" applyBorder="1"/>
    <xf numFmtId="0" fontId="23" fillId="4" borderId="0" xfId="0" applyFont="1" applyFill="1"/>
    <xf numFmtId="0" fontId="19" fillId="6" borderId="9" xfId="0" applyFont="1" applyFill="1" applyBorder="1"/>
    <xf numFmtId="9" fontId="19" fillId="6" borderId="29" xfId="0" applyNumberFormat="1" applyFont="1" applyFill="1" applyBorder="1"/>
    <xf numFmtId="0" fontId="19" fillId="6" borderId="8" xfId="0" applyFont="1" applyFill="1" applyBorder="1"/>
    <xf numFmtId="9" fontId="19" fillId="6" borderId="32" xfId="0" applyNumberFormat="1" applyFont="1" applyFill="1" applyBorder="1"/>
    <xf numFmtId="164" fontId="19" fillId="6" borderId="32" xfId="0" applyNumberFormat="1" applyFont="1" applyFill="1" applyBorder="1"/>
    <xf numFmtId="0" fontId="19" fillId="4" borderId="12" xfId="0" applyFont="1" applyFill="1" applyBorder="1"/>
    <xf numFmtId="0" fontId="19" fillId="0" borderId="0" xfId="0" applyFont="1"/>
    <xf numFmtId="0" fontId="21" fillId="16" borderId="37" xfId="0" applyFont="1" applyFill="1" applyBorder="1"/>
    <xf numFmtId="0" fontId="21" fillId="4" borderId="37" xfId="0" applyFont="1" applyFill="1" applyBorder="1"/>
    <xf numFmtId="169" fontId="19" fillId="14" borderId="10" xfId="0" applyNumberFormat="1" applyFont="1" applyFill="1" applyBorder="1"/>
    <xf numFmtId="169" fontId="19" fillId="14" borderId="32" xfId="0" applyNumberFormat="1" applyFont="1" applyFill="1" applyBorder="1"/>
    <xf numFmtId="0" fontId="21" fillId="4" borderId="19" xfId="0" applyFont="1" applyFill="1" applyBorder="1"/>
    <xf numFmtId="0" fontId="21" fillId="4" borderId="44" xfId="0" applyFont="1" applyFill="1" applyBorder="1"/>
    <xf numFmtId="169" fontId="21" fillId="16" borderId="10" xfId="0" applyNumberFormat="1" applyFont="1" applyFill="1" applyBorder="1"/>
    <xf numFmtId="169" fontId="21" fillId="16" borderId="32" xfId="0" applyNumberFormat="1" applyFont="1" applyFill="1" applyBorder="1"/>
    <xf numFmtId="0" fontId="19" fillId="4" borderId="34" xfId="0" applyFont="1" applyFill="1" applyBorder="1"/>
    <xf numFmtId="164" fontId="19" fillId="4" borderId="36" xfId="1" applyNumberFormat="1" applyFont="1" applyFill="1" applyBorder="1"/>
    <xf numFmtId="9" fontId="19" fillId="4" borderId="0" xfId="1" applyFont="1" applyFill="1"/>
    <xf numFmtId="0" fontId="25" fillId="4" borderId="0" xfId="0" applyFont="1" applyFill="1"/>
    <xf numFmtId="0" fontId="26" fillId="6" borderId="41" xfId="0" applyFont="1" applyFill="1" applyBorder="1"/>
    <xf numFmtId="0" fontId="27" fillId="4" borderId="39" xfId="0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/>
    </xf>
    <xf numFmtId="0" fontId="25" fillId="6" borderId="11" xfId="0" applyFont="1" applyFill="1" applyBorder="1"/>
    <xf numFmtId="164" fontId="25" fillId="6" borderId="46" xfId="0" applyNumberFormat="1" applyFont="1" applyFill="1" applyBorder="1" applyAlignment="1">
      <alignment horizontal="center"/>
    </xf>
    <xf numFmtId="164" fontId="25" fillId="4" borderId="47" xfId="0" applyNumberFormat="1" applyFont="1" applyFill="1" applyBorder="1"/>
    <xf numFmtId="0" fontId="25" fillId="6" borderId="9" xfId="0" applyFont="1" applyFill="1" applyBorder="1"/>
    <xf numFmtId="164" fontId="25" fillId="6" borderId="48" xfId="0" applyNumberFormat="1" applyFont="1" applyFill="1" applyBorder="1" applyAlignment="1">
      <alignment horizontal="center"/>
    </xf>
    <xf numFmtId="164" fontId="25" fillId="4" borderId="0" xfId="0" applyNumberFormat="1" applyFont="1" applyFill="1"/>
    <xf numFmtId="0" fontId="25" fillId="6" borderId="8" xfId="0" applyFont="1" applyFill="1" applyBorder="1"/>
    <xf numFmtId="164" fontId="25" fillId="6" borderId="49" xfId="0" applyNumberFormat="1" applyFont="1" applyFill="1" applyBorder="1" applyAlignment="1">
      <alignment horizontal="center"/>
    </xf>
    <xf numFmtId="164" fontId="25" fillId="4" borderId="50" xfId="0" applyNumberFormat="1" applyFont="1" applyFill="1" applyBorder="1"/>
    <xf numFmtId="0" fontId="26" fillId="5" borderId="39" xfId="0" applyFont="1" applyFill="1" applyBorder="1"/>
    <xf numFmtId="0" fontId="27" fillId="4" borderId="51" xfId="0" applyFont="1" applyFill="1" applyBorder="1" applyAlignment="1">
      <alignment horizontal="center"/>
    </xf>
    <xf numFmtId="0" fontId="25" fillId="6" borderId="14" xfId="0" applyFont="1" applyFill="1" applyBorder="1"/>
    <xf numFmtId="164" fontId="25" fillId="6" borderId="52" xfId="0" applyNumberFormat="1" applyFont="1" applyFill="1" applyBorder="1" applyAlignment="1">
      <alignment horizontal="center"/>
    </xf>
    <xf numFmtId="164" fontId="25" fillId="4" borderId="0" xfId="1" applyNumberFormat="1" applyFont="1" applyFill="1" applyBorder="1"/>
    <xf numFmtId="0" fontId="26" fillId="5" borderId="16" xfId="0" applyFont="1" applyFill="1" applyBorder="1"/>
    <xf numFmtId="9" fontId="25" fillId="4" borderId="0" xfId="0" applyNumberFormat="1" applyFont="1" applyFill="1" applyAlignment="1">
      <alignment horizontal="center" vertical="center"/>
    </xf>
    <xf numFmtId="9" fontId="25" fillId="4" borderId="0" xfId="1" applyFont="1" applyFill="1" applyBorder="1" applyAlignment="1">
      <alignment horizontal="center"/>
    </xf>
    <xf numFmtId="0" fontId="26" fillId="5" borderId="53" xfId="0" applyFont="1" applyFill="1" applyBorder="1"/>
    <xf numFmtId="0" fontId="25" fillId="4" borderId="29" xfId="0" applyFont="1" applyFill="1" applyBorder="1"/>
    <xf numFmtId="0" fontId="29" fillId="4" borderId="8" xfId="0" applyFont="1" applyFill="1" applyBorder="1"/>
    <xf numFmtId="0" fontId="29" fillId="4" borderId="7" xfId="0" applyFont="1" applyFill="1" applyBorder="1"/>
    <xf numFmtId="0" fontId="29" fillId="4" borderId="0" xfId="0" applyFont="1" applyFill="1"/>
    <xf numFmtId="0" fontId="29" fillId="4" borderId="32" xfId="0" applyFont="1" applyFill="1" applyBorder="1"/>
    <xf numFmtId="0" fontId="27" fillId="4" borderId="23" xfId="0" applyFont="1" applyFill="1" applyBorder="1" applyAlignment="1">
      <alignment horizontal="center"/>
    </xf>
    <xf numFmtId="164" fontId="25" fillId="6" borderId="54" xfId="0" applyNumberFormat="1" applyFont="1" applyFill="1" applyBorder="1" applyAlignment="1">
      <alignment horizontal="center"/>
    </xf>
    <xf numFmtId="164" fontId="25" fillId="6" borderId="0" xfId="0" applyNumberFormat="1" applyFont="1" applyFill="1" applyAlignment="1">
      <alignment horizontal="center"/>
    </xf>
    <xf numFmtId="0" fontId="25" fillId="6" borderId="0" xfId="0" applyFont="1" applyFill="1"/>
    <xf numFmtId="0" fontId="28" fillId="17" borderId="34" xfId="0" applyFont="1" applyFill="1" applyBorder="1" applyAlignment="1">
      <alignment horizontal="center"/>
    </xf>
    <xf numFmtId="0" fontId="28" fillId="17" borderId="35" xfId="0" applyFont="1" applyFill="1" applyBorder="1" applyAlignment="1">
      <alignment horizontal="center"/>
    </xf>
    <xf numFmtId="0" fontId="28" fillId="17" borderId="36" xfId="0" applyFont="1" applyFill="1" applyBorder="1" applyAlignment="1">
      <alignment horizontal="center"/>
    </xf>
    <xf numFmtId="164" fontId="25" fillId="6" borderId="35" xfId="0" applyNumberFormat="1" applyFont="1" applyFill="1" applyBorder="1" applyAlignment="1">
      <alignment horizontal="center"/>
    </xf>
    <xf numFmtId="164" fontId="25" fillId="4" borderId="35" xfId="0" applyNumberFormat="1" applyFont="1" applyFill="1" applyBorder="1"/>
    <xf numFmtId="164" fontId="25" fillId="4" borderId="36" xfId="0" applyNumberFormat="1" applyFont="1" applyFill="1" applyBorder="1"/>
    <xf numFmtId="0" fontId="25" fillId="6" borderId="13" xfId="0" applyFont="1" applyFill="1" applyBorder="1"/>
    <xf numFmtId="164" fontId="25" fillId="0" borderId="52" xfId="0" applyNumberFormat="1" applyFont="1" applyBorder="1" applyAlignment="1">
      <alignment horizontal="center"/>
    </xf>
    <xf numFmtId="164" fontId="27" fillId="4" borderId="39" xfId="0" applyNumberFormat="1" applyFont="1" applyFill="1" applyBorder="1" applyAlignment="1">
      <alignment horizontal="center"/>
    </xf>
    <xf numFmtId="0" fontId="25" fillId="4" borderId="8" xfId="0" applyFont="1" applyFill="1" applyBorder="1"/>
    <xf numFmtId="0" fontId="29" fillId="19" borderId="7" xfId="0" applyFont="1" applyFill="1" applyBorder="1"/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5" fillId="0" borderId="0" xfId="0" applyFont="1"/>
    <xf numFmtId="0" fontId="28" fillId="4" borderId="0" xfId="0" applyFont="1" applyFill="1" applyAlignment="1">
      <alignment horizontal="center"/>
    </xf>
    <xf numFmtId="0" fontId="26" fillId="14" borderId="41" xfId="0" applyFont="1" applyFill="1" applyBorder="1" applyAlignment="1">
      <alignment horizontal="center"/>
    </xf>
    <xf numFmtId="0" fontId="26" fillId="14" borderId="45" xfId="0" applyFont="1" applyFill="1" applyBorder="1" applyAlignment="1">
      <alignment horizontal="center"/>
    </xf>
    <xf numFmtId="0" fontId="28" fillId="0" borderId="0" xfId="0" applyFont="1" applyAlignment="1">
      <alignment horizontal="right" vertical="center"/>
    </xf>
    <xf numFmtId="0" fontId="25" fillId="0" borderId="44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28" fillId="0" borderId="0" xfId="0" applyFont="1" applyAlignment="1">
      <alignment horizontal="right"/>
    </xf>
    <xf numFmtId="2" fontId="25" fillId="0" borderId="9" xfId="0" applyNumberFormat="1" applyFont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164" fontId="25" fillId="0" borderId="29" xfId="1" applyNumberFormat="1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2" fontId="25" fillId="0" borderId="58" xfId="0" applyNumberFormat="1" applyFont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2" fontId="28" fillId="0" borderId="43" xfId="0" applyNumberFormat="1" applyFont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2" fontId="25" fillId="0" borderId="59" xfId="0" applyNumberFormat="1" applyFont="1" applyBorder="1" applyAlignment="1">
      <alignment horizontal="center"/>
    </xf>
    <xf numFmtId="164" fontId="25" fillId="0" borderId="60" xfId="1" applyNumberFormat="1" applyFont="1" applyFill="1" applyBorder="1" applyAlignment="1">
      <alignment horizontal="center"/>
    </xf>
    <xf numFmtId="0" fontId="28" fillId="0" borderId="0" xfId="0" applyFont="1"/>
    <xf numFmtId="14" fontId="30" fillId="0" borderId="0" xfId="0" applyNumberFormat="1" applyFont="1" applyAlignment="1">
      <alignment horizontal="right"/>
    </xf>
    <xf numFmtId="14" fontId="26" fillId="15" borderId="33" xfId="0" applyNumberFormat="1" applyFont="1" applyFill="1" applyBorder="1" applyAlignment="1">
      <alignment horizontal="center"/>
    </xf>
    <xf numFmtId="14" fontId="31" fillId="15" borderId="33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20" fillId="4" borderId="9" xfId="0" applyFont="1" applyFill="1" applyBorder="1" applyAlignment="1">
      <alignment vertical="center"/>
    </xf>
    <xf numFmtId="0" fontId="20" fillId="4" borderId="29" xfId="0" applyFont="1" applyFill="1" applyBorder="1" applyAlignment="1">
      <alignment horizontal="right" indent="1"/>
    </xf>
    <xf numFmtId="0" fontId="19" fillId="17" borderId="9" xfId="0" applyFont="1" applyFill="1" applyBorder="1" applyAlignment="1">
      <alignment vertical="center"/>
    </xf>
    <xf numFmtId="0" fontId="19" fillId="17" borderId="0" xfId="0" applyFont="1" applyFill="1"/>
    <xf numFmtId="8" fontId="19" fillId="17" borderId="29" xfId="0" applyNumberFormat="1" applyFont="1" applyFill="1" applyBorder="1"/>
    <xf numFmtId="0" fontId="19" fillId="4" borderId="9" xfId="0" applyFont="1" applyFill="1" applyBorder="1" applyAlignment="1">
      <alignment vertical="center"/>
    </xf>
    <xf numFmtId="182" fontId="19" fillId="4" borderId="29" xfId="0" applyNumberFormat="1" applyFont="1" applyFill="1" applyBorder="1" applyAlignment="1">
      <alignment horizontal="right"/>
    </xf>
    <xf numFmtId="166" fontId="28" fillId="0" borderId="0" xfId="0" applyNumberFormat="1" applyFont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19" fillId="17" borderId="8" xfId="0" applyFont="1" applyFill="1" applyBorder="1" applyAlignment="1">
      <alignment vertical="center"/>
    </xf>
    <xf numFmtId="0" fontId="19" fillId="17" borderId="7" xfId="0" applyFont="1" applyFill="1" applyBorder="1"/>
    <xf numFmtId="0" fontId="25" fillId="0" borderId="0" xfId="0" applyFont="1" applyAlignment="1">
      <alignment horizontal="right"/>
    </xf>
    <xf numFmtId="8" fontId="25" fillId="0" borderId="0" xfId="0" applyNumberFormat="1" applyFont="1"/>
    <xf numFmtId="0" fontId="26" fillId="14" borderId="52" xfId="0" applyFont="1" applyFill="1" applyBorder="1" applyAlignment="1">
      <alignment horizontal="center"/>
    </xf>
    <xf numFmtId="0" fontId="20" fillId="4" borderId="0" xfId="0" applyFont="1" applyFill="1" applyAlignment="1">
      <alignment horizontal="right"/>
    </xf>
    <xf numFmtId="2" fontId="25" fillId="0" borderId="56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164" fontId="25" fillId="0" borderId="32" xfId="1" applyNumberFormat="1" applyFont="1" applyFill="1" applyBorder="1" applyAlignment="1">
      <alignment horizontal="center"/>
    </xf>
    <xf numFmtId="0" fontId="20" fillId="4" borderId="11" xfId="0" applyFont="1" applyFill="1" applyBorder="1"/>
    <xf numFmtId="0" fontId="20" fillId="4" borderId="12" xfId="0" applyFont="1" applyFill="1" applyBorder="1" applyAlignment="1">
      <alignment horizontal="right"/>
    </xf>
    <xf numFmtId="0" fontId="20" fillId="4" borderId="10" xfId="0" applyFont="1" applyFill="1" applyBorder="1" applyAlignment="1">
      <alignment horizontal="right"/>
    </xf>
    <xf numFmtId="0" fontId="19" fillId="17" borderId="9" xfId="0" applyFont="1" applyFill="1" applyBorder="1"/>
    <xf numFmtId="6" fontId="19" fillId="17" borderId="0" xfId="0" applyNumberFormat="1" applyFont="1" applyFill="1"/>
    <xf numFmtId="6" fontId="19" fillId="17" borderId="29" xfId="0" applyNumberFormat="1" applyFont="1" applyFill="1" applyBorder="1"/>
    <xf numFmtId="0" fontId="19" fillId="4" borderId="9" xfId="0" applyFont="1" applyFill="1" applyBorder="1"/>
    <xf numFmtId="182" fontId="19" fillId="4" borderId="0" xfId="0" applyNumberFormat="1" applyFont="1" applyFill="1" applyAlignment="1">
      <alignment horizontal="right"/>
    </xf>
    <xf numFmtId="6" fontId="19" fillId="4" borderId="0" xfId="0" applyNumberFormat="1" applyFont="1" applyFill="1"/>
    <xf numFmtId="6" fontId="19" fillId="4" borderId="29" xfId="0" applyNumberFormat="1" applyFont="1" applyFill="1" applyBorder="1"/>
    <xf numFmtId="0" fontId="25" fillId="0" borderId="9" xfId="0" applyFont="1" applyBorder="1" applyAlignment="1">
      <alignment vertical="center"/>
    </xf>
    <xf numFmtId="183" fontId="19" fillId="4" borderId="29" xfId="0" applyNumberFormat="1" applyFont="1" applyFill="1" applyBorder="1"/>
    <xf numFmtId="0" fontId="19" fillId="4" borderId="28" xfId="0" applyFont="1" applyFill="1" applyBorder="1"/>
    <xf numFmtId="165" fontId="19" fillId="4" borderId="0" xfId="0" applyNumberFormat="1" applyFont="1" applyFill="1"/>
    <xf numFmtId="165" fontId="19" fillId="4" borderId="29" xfId="0" applyNumberFormat="1" applyFont="1" applyFill="1" applyBorder="1"/>
    <xf numFmtId="0" fontId="19" fillId="17" borderId="8" xfId="0" applyFont="1" applyFill="1" applyBorder="1"/>
    <xf numFmtId="171" fontId="19" fillId="17" borderId="7" xfId="0" applyNumberFormat="1" applyFont="1" applyFill="1" applyBorder="1"/>
    <xf numFmtId="169" fontId="19" fillId="3" borderId="10" xfId="0" applyNumberFormat="1" applyFont="1" applyFill="1" applyBorder="1"/>
    <xf numFmtId="169" fontId="19" fillId="3" borderId="32" xfId="0" applyNumberFormat="1" applyFont="1" applyFill="1" applyBorder="1"/>
    <xf numFmtId="0" fontId="0" fillId="19" borderId="7" xfId="0" applyFill="1" applyBorder="1"/>
    <xf numFmtId="0" fontId="29" fillId="19" borderId="55" xfId="0" applyFont="1" applyFill="1" applyBorder="1"/>
    <xf numFmtId="0" fontId="28" fillId="18" borderId="40" xfId="0" applyFont="1" applyFill="1" applyBorder="1" applyAlignment="1">
      <alignment horizontal="center"/>
    </xf>
    <xf numFmtId="2" fontId="28" fillId="18" borderId="40" xfId="0" applyNumberFormat="1" applyFont="1" applyFill="1" applyBorder="1" applyAlignment="1">
      <alignment horizontal="center"/>
    </xf>
    <xf numFmtId="2" fontId="28" fillId="18" borderId="43" xfId="0" applyNumberFormat="1" applyFont="1" applyFill="1" applyBorder="1" applyAlignment="1">
      <alignment horizontal="center"/>
    </xf>
    <xf numFmtId="0" fontId="26" fillId="15" borderId="13" xfId="0" applyFont="1" applyFill="1" applyBorder="1" applyAlignment="1">
      <alignment horizontal="center"/>
    </xf>
    <xf numFmtId="0" fontId="26" fillId="14" borderId="19" xfId="0" applyFont="1" applyFill="1" applyBorder="1" applyAlignment="1">
      <alignment horizontal="center"/>
    </xf>
    <xf numFmtId="0" fontId="26" fillId="14" borderId="18" xfId="0" applyFont="1" applyFill="1" applyBorder="1" applyAlignment="1">
      <alignment horizontal="center"/>
    </xf>
    <xf numFmtId="0" fontId="26" fillId="14" borderId="38" xfId="0" applyFont="1" applyFill="1" applyBorder="1" applyAlignment="1">
      <alignment horizontal="center"/>
    </xf>
    <xf numFmtId="0" fontId="26" fillId="14" borderId="34" xfId="0" applyFont="1" applyFill="1" applyBorder="1" applyAlignment="1">
      <alignment horizontal="center"/>
    </xf>
    <xf numFmtId="0" fontId="26" fillId="14" borderId="36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164" fontId="25" fillId="4" borderId="52" xfId="0" applyNumberFormat="1" applyFont="1" applyFill="1" applyBorder="1" applyAlignment="1">
      <alignment horizontal="center"/>
    </xf>
    <xf numFmtId="0" fontId="10" fillId="4" borderId="9" xfId="0" applyFont="1" applyFill="1" applyBorder="1"/>
    <xf numFmtId="0" fontId="10" fillId="4" borderId="29" xfId="0" applyFont="1" applyFill="1" applyBorder="1"/>
    <xf numFmtId="0" fontId="11" fillId="20" borderId="9" xfId="0" applyFont="1" applyFill="1" applyBorder="1"/>
    <xf numFmtId="0" fontId="10" fillId="4" borderId="9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0" fontId="11" fillId="20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164" fontId="8" fillId="4" borderId="29" xfId="0" applyNumberFormat="1" applyFont="1" applyFill="1" applyBorder="1"/>
    <xf numFmtId="0" fontId="12" fillId="20" borderId="9" xfId="0" applyFont="1" applyFill="1" applyBorder="1" applyAlignment="1">
      <alignment horizontal="left"/>
    </xf>
    <xf numFmtId="0" fontId="8" fillId="4" borderId="29" xfId="0" applyFont="1" applyFill="1" applyBorder="1"/>
    <xf numFmtId="0" fontId="8" fillId="4" borderId="9" xfId="0" applyFont="1" applyFill="1" applyBorder="1" applyAlignment="1">
      <alignment horizontal="right"/>
    </xf>
    <xf numFmtId="164" fontId="8" fillId="4" borderId="7" xfId="0" applyNumberFormat="1" applyFont="1" applyFill="1" applyBorder="1"/>
    <xf numFmtId="0" fontId="33" fillId="11" borderId="11" xfId="0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172" fontId="7" fillId="11" borderId="12" xfId="0" applyNumberFormat="1" applyFont="1" applyFill="1" applyBorder="1" applyAlignment="1">
      <alignment horizontal="center"/>
    </xf>
    <xf numFmtId="172" fontId="7" fillId="11" borderId="10" xfId="0" applyNumberFormat="1" applyFont="1" applyFill="1" applyBorder="1" applyAlignment="1">
      <alignment horizontal="center"/>
    </xf>
    <xf numFmtId="167" fontId="10" fillId="20" borderId="29" xfId="2" applyNumberFormat="1" applyFont="1" applyFill="1" applyBorder="1"/>
    <xf numFmtId="164" fontId="8" fillId="4" borderId="0" xfId="0" applyNumberFormat="1" applyFont="1" applyFill="1"/>
    <xf numFmtId="167" fontId="10" fillId="20" borderId="0" xfId="2" applyNumberFormat="1" applyFont="1" applyFill="1" applyBorder="1"/>
    <xf numFmtId="0" fontId="8" fillId="4" borderId="8" xfId="0" applyFont="1" applyFill="1" applyBorder="1" applyAlignment="1">
      <alignment horizontal="right"/>
    </xf>
    <xf numFmtId="0" fontId="35" fillId="4" borderId="0" xfId="0" applyFont="1" applyFill="1"/>
    <xf numFmtId="0" fontId="18" fillId="4" borderId="0" xfId="0" applyFont="1" applyFill="1"/>
    <xf numFmtId="0" fontId="36" fillId="0" borderId="0" xfId="0" applyFont="1" applyAlignment="1">
      <alignment horizontal="right"/>
    </xf>
    <xf numFmtId="0" fontId="37" fillId="0" borderId="0" xfId="0" applyFont="1"/>
    <xf numFmtId="164" fontId="25" fillId="22" borderId="29" xfId="1" applyNumberFormat="1" applyFont="1" applyFill="1" applyBorder="1" applyAlignment="1">
      <alignment horizontal="center"/>
    </xf>
    <xf numFmtId="8" fontId="20" fillId="17" borderId="32" xfId="0" applyNumberFormat="1" applyFont="1" applyFill="1" applyBorder="1"/>
    <xf numFmtId="0" fontId="3" fillId="4" borderId="0" xfId="0" applyFont="1" applyFill="1"/>
    <xf numFmtId="0" fontId="25" fillId="0" borderId="29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44" fontId="19" fillId="17" borderId="29" xfId="0" applyNumberFormat="1" applyFont="1" applyFill="1" applyBorder="1"/>
    <xf numFmtId="171" fontId="20" fillId="17" borderId="32" xfId="0" applyNumberFormat="1" applyFont="1" applyFill="1" applyBorder="1"/>
    <xf numFmtId="0" fontId="6" fillId="0" borderId="0" xfId="0" applyFont="1"/>
    <xf numFmtId="0" fontId="12" fillId="4" borderId="9" xfId="0" applyFont="1" applyFill="1" applyBorder="1" applyAlignment="1">
      <alignment horizontal="left" vertical="top"/>
    </xf>
    <xf numFmtId="0" fontId="8" fillId="4" borderId="29" xfId="0" applyFont="1" applyFill="1" applyBorder="1" applyAlignment="1">
      <alignment vertical="top"/>
    </xf>
    <xf numFmtId="0" fontId="8" fillId="4" borderId="9" xfId="0" applyFont="1" applyFill="1" applyBorder="1" applyAlignment="1">
      <alignment horizontal="left" vertical="top"/>
    </xf>
    <xf numFmtId="169" fontId="8" fillId="23" borderId="29" xfId="2" applyNumberFormat="1" applyFont="1" applyFill="1" applyBorder="1" applyAlignment="1">
      <alignment horizontal="right"/>
    </xf>
    <xf numFmtId="169" fontId="8" fillId="21" borderId="29" xfId="2" applyNumberFormat="1" applyFont="1" applyFill="1" applyBorder="1" applyAlignment="1">
      <alignment horizontal="right"/>
    </xf>
    <xf numFmtId="184" fontId="8" fillId="4" borderId="29" xfId="0" applyNumberFormat="1" applyFont="1" applyFill="1" applyBorder="1" applyAlignment="1">
      <alignment horizontal="center"/>
    </xf>
    <xf numFmtId="173" fontId="8" fillId="21" borderId="29" xfId="1" applyNumberFormat="1" applyFont="1" applyFill="1" applyBorder="1" applyAlignment="1">
      <alignment vertical="top"/>
    </xf>
    <xf numFmtId="0" fontId="12" fillId="4" borderId="39" xfId="0" applyFont="1" applyFill="1" applyBorder="1" applyAlignment="1">
      <alignment horizontal="left" vertical="top"/>
    </xf>
    <xf numFmtId="173" fontId="12" fillId="21" borderId="27" xfId="1" applyNumberFormat="1" applyFont="1" applyFill="1" applyBorder="1" applyAlignment="1">
      <alignment vertical="top"/>
    </xf>
    <xf numFmtId="0" fontId="8" fillId="4" borderId="9" xfId="0" applyFont="1" applyFill="1" applyBorder="1" applyAlignment="1">
      <alignment vertical="top"/>
    </xf>
    <xf numFmtId="10" fontId="8" fillId="4" borderId="29" xfId="1" applyNumberFormat="1" applyFont="1" applyFill="1" applyBorder="1" applyAlignment="1">
      <alignment vertical="top"/>
    </xf>
    <xf numFmtId="0" fontId="12" fillId="4" borderId="61" xfId="0" applyFont="1" applyFill="1" applyBorder="1" applyAlignment="1">
      <alignment horizontal="left" vertical="top"/>
    </xf>
    <xf numFmtId="10" fontId="8" fillId="4" borderId="62" xfId="1" applyNumberFormat="1" applyFont="1" applyFill="1" applyBorder="1" applyAlignment="1">
      <alignment vertical="top"/>
    </xf>
    <xf numFmtId="173" fontId="8" fillId="23" borderId="29" xfId="1" applyNumberFormat="1" applyFont="1" applyFill="1" applyBorder="1" applyAlignment="1">
      <alignment vertical="top"/>
    </xf>
    <xf numFmtId="0" fontId="8" fillId="4" borderId="63" xfId="0" applyFont="1" applyFill="1" applyBorder="1" applyAlignment="1">
      <alignment horizontal="left" vertical="top"/>
    </xf>
    <xf numFmtId="0" fontId="6" fillId="10" borderId="0" xfId="0" applyFont="1" applyFill="1"/>
    <xf numFmtId="0" fontId="9" fillId="10" borderId="11" xfId="0" applyFont="1" applyFill="1" applyBorder="1"/>
    <xf numFmtId="0" fontId="9" fillId="10" borderId="10" xfId="0" applyFont="1" applyFill="1" applyBorder="1"/>
    <xf numFmtId="0" fontId="39" fillId="4" borderId="0" xfId="0" applyFont="1" applyFill="1"/>
    <xf numFmtId="2" fontId="25" fillId="0" borderId="28" xfId="0" applyNumberFormat="1" applyFont="1" applyBorder="1" applyAlignment="1">
      <alignment horizontal="center"/>
    </xf>
    <xf numFmtId="2" fontId="25" fillId="0" borderId="55" xfId="0" applyNumberFormat="1" applyFont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0" fontId="26" fillId="3" borderId="33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  <xf numFmtId="2" fontId="20" fillId="3" borderId="40" xfId="0" applyNumberFormat="1" applyFont="1" applyFill="1" applyBorder="1" applyAlignment="1">
      <alignment horizontal="center"/>
    </xf>
    <xf numFmtId="2" fontId="20" fillId="3" borderId="43" xfId="0" applyNumberFormat="1" applyFont="1" applyFill="1" applyBorder="1" applyAlignment="1">
      <alignment horizontal="center"/>
    </xf>
    <xf numFmtId="0" fontId="40" fillId="4" borderId="0" xfId="0" applyFont="1" applyFill="1"/>
    <xf numFmtId="170" fontId="8" fillId="23" borderId="29" xfId="2" applyNumberFormat="1" applyFont="1" applyFill="1" applyBorder="1" applyAlignment="1">
      <alignment vertical="top"/>
    </xf>
    <xf numFmtId="4" fontId="8" fillId="4" borderId="32" xfId="0" applyNumberFormat="1" applyFont="1" applyFill="1" applyBorder="1"/>
    <xf numFmtId="164" fontId="10" fillId="4" borderId="29" xfId="0" applyNumberFormat="1" applyFont="1" applyFill="1" applyBorder="1"/>
    <xf numFmtId="167" fontId="18" fillId="20" borderId="0" xfId="2" applyNumberFormat="1" applyFont="1" applyFill="1" applyBorder="1"/>
    <xf numFmtId="167" fontId="18" fillId="20" borderId="29" xfId="2" applyNumberFormat="1" applyFont="1" applyFill="1" applyBorder="1"/>
    <xf numFmtId="164" fontId="25" fillId="0" borderId="54" xfId="0" applyNumberFormat="1" applyFont="1" applyBorder="1" applyAlignment="1">
      <alignment horizontal="center"/>
    </xf>
    <xf numFmtId="2" fontId="13" fillId="4" borderId="0" xfId="0" applyNumberFormat="1" applyFont="1" applyFill="1"/>
    <xf numFmtId="2" fontId="25" fillId="0" borderId="60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7" xfId="0" applyBorder="1" applyAlignment="1">
      <alignment horizontal="center"/>
    </xf>
    <xf numFmtId="10" fontId="8" fillId="4" borderId="0" xfId="1" applyNumberFormat="1" applyFont="1" applyFill="1" applyAlignment="1">
      <alignment horizontal="left"/>
    </xf>
    <xf numFmtId="0" fontId="8" fillId="0" borderId="0" xfId="0" applyFont="1"/>
    <xf numFmtId="10" fontId="8" fillId="0" borderId="0" xfId="0" applyNumberFormat="1" applyFont="1"/>
    <xf numFmtId="0" fontId="8" fillId="0" borderId="10" xfId="0" applyFont="1" applyBorder="1"/>
    <xf numFmtId="173" fontId="34" fillId="23" borderId="29" xfId="1" applyNumberFormat="1" applyFont="1" applyFill="1" applyBorder="1" applyAlignment="1">
      <alignment vertical="top"/>
    </xf>
    <xf numFmtId="0" fontId="38" fillId="25" borderId="64" xfId="0" applyFont="1" applyFill="1" applyBorder="1" applyAlignment="1">
      <alignment horizontal="left" vertical="top"/>
    </xf>
    <xf numFmtId="173" fontId="38" fillId="25" borderId="65" xfId="1" applyNumberFormat="1" applyFont="1" applyFill="1" applyBorder="1" applyAlignment="1">
      <alignment vertical="top"/>
    </xf>
    <xf numFmtId="171" fontId="7" fillId="12" borderId="25" xfId="0" applyNumberFormat="1" applyFont="1" applyFill="1" applyBorder="1" applyAlignment="1">
      <alignment horizontal="right"/>
    </xf>
    <xf numFmtId="167" fontId="8" fillId="20" borderId="0" xfId="2" applyNumberFormat="1" applyFont="1" applyFill="1" applyBorder="1"/>
    <xf numFmtId="0" fontId="21" fillId="6" borderId="9" xfId="0" applyFont="1" applyFill="1" applyBorder="1" applyAlignment="1">
      <alignment horizontal="centerContinuous" vertical="center"/>
    </xf>
    <xf numFmtId="0" fontId="21" fillId="6" borderId="29" xfId="0" applyFont="1" applyFill="1" applyBorder="1" applyAlignment="1">
      <alignment horizontal="centerContinuous" vertical="center"/>
    </xf>
    <xf numFmtId="164" fontId="25" fillId="4" borderId="54" xfId="0" applyNumberFormat="1" applyFont="1" applyFill="1" applyBorder="1" applyAlignment="1">
      <alignment horizontal="center"/>
    </xf>
    <xf numFmtId="164" fontId="25" fillId="4" borderId="29" xfId="1" applyNumberFormat="1" applyFont="1" applyFill="1" applyBorder="1" applyAlignment="1">
      <alignment horizontal="center"/>
    </xf>
    <xf numFmtId="0" fontId="28" fillId="22" borderId="26" xfId="0" applyFont="1" applyFill="1" applyBorder="1" applyAlignment="1">
      <alignment horizontal="center"/>
    </xf>
    <xf numFmtId="164" fontId="25" fillId="27" borderId="52" xfId="0" applyNumberFormat="1" applyFont="1" applyFill="1" applyBorder="1" applyAlignment="1">
      <alignment horizontal="center"/>
    </xf>
    <xf numFmtId="164" fontId="25" fillId="22" borderId="52" xfId="0" applyNumberFormat="1" applyFont="1" applyFill="1" applyBorder="1" applyAlignment="1">
      <alignment horizontal="center"/>
    </xf>
    <xf numFmtId="182" fontId="8" fillId="0" borderId="0" xfId="0" applyNumberFormat="1" applyFont="1"/>
    <xf numFmtId="4" fontId="8" fillId="4" borderId="7" xfId="0" applyNumberFormat="1" applyFont="1" applyFill="1" applyBorder="1"/>
    <xf numFmtId="0" fontId="7" fillId="11" borderId="12" xfId="0" applyFont="1" applyFill="1" applyBorder="1"/>
    <xf numFmtId="167" fontId="8" fillId="28" borderId="0" xfId="2" applyNumberFormat="1" applyFont="1" applyFill="1" applyBorder="1"/>
    <xf numFmtId="164" fontId="8" fillId="26" borderId="0" xfId="0" applyNumberFormat="1" applyFont="1" applyFill="1"/>
    <xf numFmtId="167" fontId="18" fillId="28" borderId="0" xfId="2" applyNumberFormat="1" applyFont="1" applyFill="1" applyBorder="1"/>
    <xf numFmtId="0" fontId="8" fillId="0" borderId="39" xfId="0" applyFont="1" applyBorder="1"/>
    <xf numFmtId="0" fontId="8" fillId="0" borderId="27" xfId="0" applyFont="1" applyBorder="1"/>
    <xf numFmtId="6" fontId="8" fillId="0" borderId="29" xfId="0" applyNumberFormat="1" applyFont="1" applyBorder="1"/>
    <xf numFmtId="10" fontId="8" fillId="24" borderId="29" xfId="1" applyNumberFormat="1" applyFont="1" applyFill="1" applyBorder="1"/>
    <xf numFmtId="0" fontId="8" fillId="0" borderId="29" xfId="0" applyFont="1" applyBorder="1"/>
    <xf numFmtId="9" fontId="8" fillId="24" borderId="29" xfId="1" applyFont="1" applyFill="1" applyBorder="1"/>
    <xf numFmtId="10" fontId="8" fillId="24" borderId="29" xfId="0" applyNumberFormat="1" applyFont="1" applyFill="1" applyBorder="1"/>
    <xf numFmtId="0" fontId="8" fillId="24" borderId="29" xfId="0" applyFont="1" applyFill="1" applyBorder="1"/>
    <xf numFmtId="9" fontId="8" fillId="24" borderId="29" xfId="0" applyNumberFormat="1" applyFont="1" applyFill="1" applyBorder="1"/>
    <xf numFmtId="164" fontId="8" fillId="0" borderId="29" xfId="1" applyNumberFormat="1" applyFont="1" applyBorder="1"/>
    <xf numFmtId="167" fontId="8" fillId="0" borderId="29" xfId="2" applyNumberFormat="1" applyFont="1" applyBorder="1"/>
    <xf numFmtId="44" fontId="8" fillId="0" borderId="29" xfId="2" applyFont="1" applyBorder="1"/>
    <xf numFmtId="0" fontId="8" fillId="24" borderId="8" xfId="0" applyFont="1" applyFill="1" applyBorder="1"/>
    <xf numFmtId="10" fontId="8" fillId="24" borderId="32" xfId="1" applyNumberFormat="1" applyFont="1" applyFill="1" applyBorder="1"/>
    <xf numFmtId="174" fontId="0" fillId="4" borderId="0" xfId="0" applyNumberFormat="1" applyFill="1"/>
    <xf numFmtId="186" fontId="13" fillId="4" borderId="0" xfId="0" applyNumberFormat="1" applyFont="1" applyFill="1"/>
    <xf numFmtId="43" fontId="13" fillId="4" borderId="0" xfId="0" applyNumberFormat="1" applyFont="1" applyFill="1"/>
    <xf numFmtId="187" fontId="7" fillId="11" borderId="0" xfId="0" applyNumberFormat="1" applyFont="1" applyFill="1" applyAlignment="1">
      <alignment horizontal="center"/>
    </xf>
    <xf numFmtId="188" fontId="7" fillId="11" borderId="0" xfId="0" applyNumberFormat="1" applyFont="1" applyFill="1" applyAlignment="1">
      <alignment horizontal="center"/>
    </xf>
    <xf numFmtId="171" fontId="0" fillId="4" borderId="0" xfId="0" applyNumberFormat="1" applyFill="1"/>
    <xf numFmtId="185" fontId="0" fillId="4" borderId="0" xfId="1" applyNumberFormat="1" applyFont="1" applyFill="1"/>
    <xf numFmtId="167" fontId="10" fillId="28" borderId="0" xfId="2" applyNumberFormat="1" applyFont="1" applyFill="1" applyBorder="1"/>
    <xf numFmtId="164" fontId="10" fillId="26" borderId="0" xfId="0" applyNumberFormat="1" applyFont="1" applyFill="1"/>
    <xf numFmtId="176" fontId="10" fillId="20" borderId="0" xfId="0" applyNumberFormat="1" applyFont="1" applyFill="1"/>
    <xf numFmtId="0" fontId="11" fillId="29" borderId="0" xfId="0" applyFont="1" applyFill="1" applyAlignment="1">
      <alignment horizontal="left"/>
    </xf>
    <xf numFmtId="176" fontId="10" fillId="29" borderId="0" xfId="0" applyNumberFormat="1" applyFont="1" applyFill="1"/>
    <xf numFmtId="0" fontId="6" fillId="10" borderId="0" xfId="0" applyFont="1" applyFill="1" applyAlignment="1">
      <alignment horizontal="left"/>
    </xf>
    <xf numFmtId="0" fontId="7" fillId="11" borderId="12" xfId="0" applyFont="1" applyFill="1" applyBorder="1" applyAlignment="1">
      <alignment horizontal="center"/>
    </xf>
    <xf numFmtId="0" fontId="34" fillId="10" borderId="12" xfId="0" applyFont="1" applyFill="1" applyBorder="1" applyAlignment="1">
      <alignment horizontal="center"/>
    </xf>
    <xf numFmtId="0" fontId="14" fillId="10" borderId="28" xfId="0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10" borderId="34" xfId="0" applyFont="1" applyFill="1" applyBorder="1" applyAlignment="1">
      <alignment horizontal="center"/>
    </xf>
    <xf numFmtId="0" fontId="9" fillId="10" borderId="35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/>
    </xf>
    <xf numFmtId="0" fontId="14" fillId="10" borderId="36" xfId="0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9" fillId="8" borderId="11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21" fillId="6" borderId="9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/>
    </xf>
    <xf numFmtId="0" fontId="20" fillId="6" borderId="27" xfId="0" applyFont="1" applyFill="1" applyBorder="1" applyAlignment="1">
      <alignment horizontal="center"/>
    </xf>
    <xf numFmtId="0" fontId="24" fillId="10" borderId="0" xfId="0" applyFont="1" applyFill="1" applyAlignment="1">
      <alignment horizontal="left"/>
    </xf>
    <xf numFmtId="0" fontId="28" fillId="17" borderId="41" xfId="0" applyFont="1" applyFill="1" applyBorder="1" applyAlignment="1">
      <alignment horizontal="left"/>
    </xf>
    <xf numFmtId="0" fontId="28" fillId="17" borderId="52" xfId="0" applyFont="1" applyFill="1" applyBorder="1" applyAlignment="1">
      <alignment horizontal="left"/>
    </xf>
    <xf numFmtId="0" fontId="28" fillId="17" borderId="45" xfId="0" applyFont="1" applyFill="1" applyBorder="1" applyAlignment="1">
      <alignment horizontal="left"/>
    </xf>
    <xf numFmtId="0" fontId="28" fillId="17" borderId="41" xfId="0" applyFont="1" applyFill="1" applyBorder="1" applyAlignment="1">
      <alignment horizontal="center"/>
    </xf>
    <xf numFmtId="0" fontId="28" fillId="17" borderId="33" xfId="0" applyFont="1" applyFill="1" applyBorder="1" applyAlignment="1">
      <alignment horizontal="center"/>
    </xf>
    <xf numFmtId="0" fontId="28" fillId="17" borderId="52" xfId="0" applyFont="1" applyFill="1" applyBorder="1" applyAlignment="1">
      <alignment horizontal="center"/>
    </xf>
    <xf numFmtId="0" fontId="28" fillId="17" borderId="45" xfId="0" applyFont="1" applyFill="1" applyBorder="1" applyAlignment="1">
      <alignment horizontal="center"/>
    </xf>
    <xf numFmtId="0" fontId="22" fillId="19" borderId="41" xfId="0" applyFont="1" applyFill="1" applyBorder="1" applyAlignment="1">
      <alignment horizontal="center"/>
    </xf>
    <xf numFmtId="0" fontId="22" fillId="19" borderId="52" xfId="0" applyFont="1" applyFill="1" applyBorder="1" applyAlignment="1">
      <alignment horizontal="center"/>
    </xf>
    <xf numFmtId="0" fontId="22" fillId="19" borderId="33" xfId="0" applyFont="1" applyFill="1" applyBorder="1" applyAlignment="1">
      <alignment horizontal="center"/>
    </xf>
    <xf numFmtId="0" fontId="22" fillId="14" borderId="41" xfId="0" applyFont="1" applyFill="1" applyBorder="1" applyAlignment="1">
      <alignment horizontal="center"/>
    </xf>
    <xf numFmtId="0" fontId="22" fillId="14" borderId="52" xfId="0" applyFont="1" applyFill="1" applyBorder="1" applyAlignment="1">
      <alignment horizontal="center"/>
    </xf>
    <xf numFmtId="0" fontId="22" fillId="14" borderId="45" xfId="0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63" xfId="0" applyFont="1" applyBorder="1" applyAlignment="1">
      <alignment horizontal="left"/>
    </xf>
    <xf numFmtId="0" fontId="12" fillId="0" borderId="67" xfId="0" applyFont="1" applyBorder="1" applyAlignment="1">
      <alignment horizontal="left"/>
    </xf>
  </cellXfs>
  <cellStyles count="7">
    <cellStyle name="blp_datetime" xfId="3" xr:uid="{C5920885-40F8-4D93-9391-DB579EC322B3}"/>
    <cellStyle name="Currency" xfId="2" builtinId="4"/>
    <cellStyle name="Currency 2" xfId="4" xr:uid="{D9BE44BB-D947-495F-9070-141EF8D89FE9}"/>
    <cellStyle name="Normal" xfId="0" builtinId="0"/>
    <cellStyle name="Normal 2" xfId="5" xr:uid="{6619BBF1-93DC-4F4A-96DE-E900B52D6BAF}"/>
    <cellStyle name="Percent" xfId="1" builtinId="5"/>
    <cellStyle name="Percent 2" xfId="6" xr:uid="{45757965-5E75-4D4B-8C22-494FB8CA5D7D}"/>
  </cellStyles>
  <dxfs count="0"/>
  <tableStyles count="0" defaultTableStyle="TableStyleMedium2" defaultPivotStyle="PivotStyleLight16"/>
  <colors>
    <mruColors>
      <color rgb="FFFFFFCC"/>
      <color rgb="FFFFCC6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 w="38100">
              <a:solidFill>
                <a:schemeClr val="bg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C16-4940-923C-99E75398E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'Direct Valuation'!$R$14:$R$18</c:f>
              <c:numCache>
                <c:formatCode>General</c:formatCode>
                <c:ptCount val="5"/>
              </c:numCache>
            </c:numRef>
          </c:cat>
          <c:val>
            <c:numRef>
              <c:f>'Direct Valuation'!$S$14:$S$18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1F-40B6-9ED0-8106049991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263354960"/>
        <c:axId val="263355920"/>
      </c:barChart>
      <c:catAx>
        <c:axId val="26335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355920"/>
        <c:crosses val="autoZero"/>
        <c:auto val="1"/>
        <c:lblAlgn val="ctr"/>
        <c:lblOffset val="100"/>
        <c:noMultiLvlLbl val="0"/>
      </c:catAx>
      <c:valAx>
        <c:axId val="263355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335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603306</xdr:colOff>
      <xdr:row>4</xdr:row>
      <xdr:rowOff>41155</xdr:rowOff>
    </xdr:from>
    <xdr:to>
      <xdr:col>26</xdr:col>
      <xdr:colOff>216970</xdr:colOff>
      <xdr:row>18</xdr:row>
      <xdr:rowOff>104472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0D27F7-6BCB-C03E-2AE2-994F878E2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zoomScale="57" zoomScaleNormal="63" workbookViewId="0">
      <selection activeCell="K26" sqref="K26"/>
    </sheetView>
  </sheetViews>
  <sheetFormatPr defaultColWidth="8.85546875" defaultRowHeight="15" x14ac:dyDescent="0.25"/>
  <cols>
    <col min="2" max="2" width="36.85546875" customWidth="1"/>
    <col min="3" max="5" width="9.42578125" bestFit="1" customWidth="1"/>
    <col min="6" max="8" width="10.140625" bestFit="1" customWidth="1"/>
    <col min="9" max="9" width="9.42578125" bestFit="1" customWidth="1"/>
  </cols>
  <sheetData>
    <row r="1" spans="2:20" x14ac:dyDescent="0.25">
      <c r="C1" s="3"/>
      <c r="D1" s="3"/>
      <c r="E1" s="3"/>
      <c r="F1" s="3"/>
      <c r="G1" s="3"/>
      <c r="H1" s="3"/>
    </row>
    <row r="2" spans="2:20" x14ac:dyDescent="0.25">
      <c r="B2" s="16" t="s">
        <v>0</v>
      </c>
      <c r="C2" s="8">
        <v>43373</v>
      </c>
      <c r="D2" s="8">
        <v>43738</v>
      </c>
      <c r="E2" s="8">
        <v>44104</v>
      </c>
      <c r="F2" s="8">
        <v>44469</v>
      </c>
      <c r="G2" s="8">
        <v>44834</v>
      </c>
      <c r="H2" s="8">
        <v>45199</v>
      </c>
    </row>
    <row r="3" spans="2:20" s="7" customFormat="1" x14ac:dyDescent="0.25">
      <c r="B3" s="21" t="s">
        <v>1</v>
      </c>
      <c r="C3" s="12">
        <v>827.5</v>
      </c>
      <c r="D3" s="12">
        <v>854.4</v>
      </c>
      <c r="E3" s="12">
        <v>988.3</v>
      </c>
      <c r="F3" s="12">
        <v>1247.0999999999999</v>
      </c>
      <c r="G3" s="12">
        <v>1371.5</v>
      </c>
      <c r="H3" s="12">
        <v>1666.8</v>
      </c>
      <c r="J3" s="14" t="s">
        <v>2</v>
      </c>
    </row>
    <row r="4" spans="2:20" x14ac:dyDescent="0.25">
      <c r="B4" s="22" t="s">
        <v>3</v>
      </c>
      <c r="C4" s="17"/>
      <c r="D4" s="18">
        <f>((D3/C3)-1)</f>
        <v>3.2507552870090661E-2</v>
      </c>
      <c r="E4" s="18">
        <f t="shared" ref="E4:G4" si="0">((E3/D3)-1)</f>
        <v>0.15671816479400746</v>
      </c>
      <c r="F4" s="18">
        <f t="shared" si="0"/>
        <v>0.26186380653647667</v>
      </c>
      <c r="G4" s="18">
        <f t="shared" si="0"/>
        <v>9.9751423302060882E-2</v>
      </c>
      <c r="H4" s="18">
        <f>((H3/G3)-1)</f>
        <v>0.21531170251549403</v>
      </c>
    </row>
    <row r="5" spans="2:20" x14ac:dyDescent="0.25">
      <c r="B5" s="9"/>
      <c r="C5" s="10"/>
      <c r="D5" s="19"/>
      <c r="E5" s="19"/>
      <c r="F5" s="19"/>
      <c r="G5" s="19"/>
      <c r="H5" s="10"/>
    </row>
    <row r="6" spans="2:20" s="6" customFormat="1" x14ac:dyDescent="0.25">
      <c r="B6" s="23" t="s">
        <v>4</v>
      </c>
      <c r="C6" s="11">
        <v>145.69999999999999</v>
      </c>
      <c r="D6" s="11">
        <v>187.8</v>
      </c>
      <c r="E6" s="11">
        <v>194.3</v>
      </c>
      <c r="F6" s="11">
        <v>211.5</v>
      </c>
      <c r="G6" s="11">
        <v>260.3</v>
      </c>
      <c r="H6" s="11">
        <v>324.39999999999998</v>
      </c>
      <c r="J6" s="24" t="s">
        <v>5</v>
      </c>
    </row>
    <row r="7" spans="2:20" x14ac:dyDescent="0.25">
      <c r="B7" s="22" t="s">
        <v>6</v>
      </c>
      <c r="C7" s="20">
        <f>C6/C3</f>
        <v>0.17607250755287007</v>
      </c>
      <c r="D7" s="20">
        <f t="shared" ref="D7:H7" si="1">D6/D3</f>
        <v>0.21980337078651688</v>
      </c>
      <c r="E7" s="20">
        <f t="shared" si="1"/>
        <v>0.19660022260447235</v>
      </c>
      <c r="F7" s="20">
        <f t="shared" si="1"/>
        <v>0.16959345681982199</v>
      </c>
      <c r="G7" s="20">
        <f t="shared" si="1"/>
        <v>0.18979219832300401</v>
      </c>
      <c r="H7" s="20">
        <f t="shared" si="1"/>
        <v>0.19462443004559635</v>
      </c>
    </row>
    <row r="8" spans="2:20" x14ac:dyDescent="0.25">
      <c r="B8" s="9"/>
      <c r="C8" s="10"/>
      <c r="D8" s="10"/>
      <c r="E8" s="10"/>
      <c r="F8" s="10"/>
      <c r="G8" s="10"/>
      <c r="H8" s="10"/>
    </row>
    <row r="9" spans="2:20" x14ac:dyDescent="0.25">
      <c r="B9" s="9" t="s">
        <v>7</v>
      </c>
      <c r="C9" s="10">
        <v>25.9</v>
      </c>
      <c r="D9" s="10">
        <v>25.3</v>
      </c>
      <c r="E9" s="10">
        <v>25.3</v>
      </c>
      <c r="F9" s="10">
        <v>53.7</v>
      </c>
      <c r="G9" s="10">
        <v>21.3</v>
      </c>
      <c r="H9" s="10">
        <v>28.3</v>
      </c>
      <c r="J9" s="2" t="s">
        <v>8</v>
      </c>
    </row>
    <row r="10" spans="2:20" x14ac:dyDescent="0.25">
      <c r="B10" s="9"/>
      <c r="C10" s="10"/>
      <c r="D10" s="10"/>
      <c r="E10" s="10"/>
      <c r="F10" s="10"/>
      <c r="G10" s="10"/>
      <c r="H10" s="10"/>
    </row>
    <row r="11" spans="2:20" s="6" customFormat="1" x14ac:dyDescent="0.25">
      <c r="B11" s="23" t="s">
        <v>9</v>
      </c>
      <c r="C11" s="13">
        <f>C6-C9</f>
        <v>119.79999999999998</v>
      </c>
      <c r="D11" s="13">
        <f>D6-D9</f>
        <v>162.5</v>
      </c>
      <c r="E11" s="13">
        <f>E6-E9</f>
        <v>169</v>
      </c>
      <c r="F11" s="13">
        <f t="shared" ref="F11:H11" si="2">F6-F9</f>
        <v>157.80000000000001</v>
      </c>
      <c r="G11" s="13">
        <f t="shared" si="2"/>
        <v>239</v>
      </c>
      <c r="H11" s="13">
        <f t="shared" si="2"/>
        <v>296.09999999999997</v>
      </c>
    </row>
    <row r="12" spans="2:20" x14ac:dyDescent="0.25">
      <c r="B12" s="22" t="s">
        <v>10</v>
      </c>
      <c r="C12" s="20">
        <f>C11/C3</f>
        <v>0.14477341389728093</v>
      </c>
      <c r="D12" s="20">
        <f t="shared" ref="D12:H12" si="3">D11/D3</f>
        <v>0.19019194756554308</v>
      </c>
      <c r="E12" s="20">
        <f t="shared" si="3"/>
        <v>0.1710007082869574</v>
      </c>
      <c r="F12" s="20">
        <f t="shared" si="3"/>
        <v>0.12653355785422182</v>
      </c>
      <c r="G12" s="20">
        <f t="shared" si="3"/>
        <v>0.17426175720014583</v>
      </c>
      <c r="H12" s="20">
        <f t="shared" si="3"/>
        <v>0.17764578833693304</v>
      </c>
    </row>
    <row r="13" spans="2:20" x14ac:dyDescent="0.25">
      <c r="B13" s="9"/>
      <c r="C13" s="10"/>
      <c r="D13" s="10"/>
      <c r="E13" s="10"/>
      <c r="F13" s="10"/>
      <c r="G13" s="10"/>
      <c r="H13" s="10"/>
      <c r="R13" s="4"/>
    </row>
    <row r="14" spans="2:20" s="6" customFormat="1" x14ac:dyDescent="0.25">
      <c r="B14" s="23" t="s">
        <v>11</v>
      </c>
      <c r="C14" s="11">
        <v>23.7</v>
      </c>
      <c r="D14" s="11">
        <v>39.4</v>
      </c>
      <c r="E14" s="11">
        <v>9.1999999999999993</v>
      </c>
      <c r="F14" s="11">
        <v>23.7</v>
      </c>
      <c r="G14" s="11">
        <v>29.6</v>
      </c>
      <c r="H14" s="11">
        <v>59.4</v>
      </c>
      <c r="J14" s="24" t="s">
        <v>12</v>
      </c>
      <c r="R14" s="15"/>
      <c r="T14" s="15"/>
    </row>
    <row r="15" spans="2:20" x14ac:dyDescent="0.25">
      <c r="B15" s="22" t="s">
        <v>13</v>
      </c>
      <c r="C15" s="20">
        <f>C14/C11</f>
        <v>0.19782971619365611</v>
      </c>
      <c r="D15" s="20">
        <f t="shared" ref="D15:H15" si="4">D14/D11</f>
        <v>0.24246153846153845</v>
      </c>
      <c r="E15" s="20">
        <f t="shared" si="4"/>
        <v>5.4437869822485205E-2</v>
      </c>
      <c r="F15" s="20">
        <f t="shared" si="4"/>
        <v>0.15019011406844104</v>
      </c>
      <c r="G15" s="20">
        <f t="shared" si="4"/>
        <v>0.12384937238493725</v>
      </c>
      <c r="H15" s="20">
        <f t="shared" si="4"/>
        <v>0.20060790273556234</v>
      </c>
      <c r="J15" s="2" t="s">
        <v>14</v>
      </c>
      <c r="R15" s="6"/>
      <c r="T15" s="6"/>
    </row>
    <row r="16" spans="2:20" x14ac:dyDescent="0.25">
      <c r="B16" s="9"/>
      <c r="C16" s="10"/>
      <c r="D16" s="10"/>
      <c r="E16" s="10"/>
      <c r="F16" s="10"/>
      <c r="G16" s="10"/>
      <c r="H16" s="10"/>
      <c r="R16" s="7"/>
      <c r="T16" s="7"/>
    </row>
    <row r="17" spans="2:20" s="6" customFormat="1" x14ac:dyDescent="0.25">
      <c r="B17" s="23" t="s">
        <v>15</v>
      </c>
      <c r="C17" s="13">
        <f>C11-C14</f>
        <v>96.09999999999998</v>
      </c>
      <c r="D17" s="13">
        <f t="shared" ref="D17:H17" si="5">D11-D14</f>
        <v>123.1</v>
      </c>
      <c r="E17" s="13">
        <f t="shared" si="5"/>
        <v>159.80000000000001</v>
      </c>
      <c r="F17" s="13">
        <f t="shared" si="5"/>
        <v>134.10000000000002</v>
      </c>
      <c r="G17" s="13">
        <f t="shared" si="5"/>
        <v>209.4</v>
      </c>
      <c r="H17" s="13">
        <f t="shared" si="5"/>
        <v>236.69999999999996</v>
      </c>
    </row>
    <row r="18" spans="2:20" x14ac:dyDescent="0.25">
      <c r="B18" s="9"/>
      <c r="C18" s="10"/>
      <c r="D18" s="10"/>
      <c r="E18" s="10"/>
      <c r="F18" s="10"/>
      <c r="G18" s="10"/>
      <c r="H18" s="10"/>
      <c r="R18" s="6"/>
      <c r="T18" s="6"/>
    </row>
    <row r="19" spans="2:20" s="6" customFormat="1" x14ac:dyDescent="0.25">
      <c r="B19" s="23" t="s">
        <v>16</v>
      </c>
      <c r="C19" s="13">
        <f>C9</f>
        <v>25.9</v>
      </c>
      <c r="D19" s="13">
        <f t="shared" ref="D19:H19" si="6">D9</f>
        <v>25.3</v>
      </c>
      <c r="E19" s="13">
        <f>E9</f>
        <v>25.3</v>
      </c>
      <c r="F19" s="13">
        <f>F9</f>
        <v>53.7</v>
      </c>
      <c r="G19" s="13">
        <f>G9</f>
        <v>21.3</v>
      </c>
      <c r="H19" s="13">
        <f t="shared" si="6"/>
        <v>28.3</v>
      </c>
    </row>
    <row r="20" spans="2:20" x14ac:dyDescent="0.25">
      <c r="B20" s="22" t="s">
        <v>17</v>
      </c>
      <c r="C20" s="20">
        <f t="shared" ref="C20:H20" si="7">C9/C3</f>
        <v>3.1299093655589125E-2</v>
      </c>
      <c r="D20" s="20">
        <f t="shared" si="7"/>
        <v>2.9611423220973786E-2</v>
      </c>
      <c r="E20" s="20">
        <f t="shared" si="7"/>
        <v>2.5599514317514928E-2</v>
      </c>
      <c r="F20" s="20">
        <f t="shared" si="7"/>
        <v>4.3059898965600196E-2</v>
      </c>
      <c r="G20" s="20">
        <f t="shared" si="7"/>
        <v>1.5530441122858184E-2</v>
      </c>
      <c r="H20" s="20">
        <f t="shared" si="7"/>
        <v>1.6978641708663308E-2</v>
      </c>
      <c r="J20" s="1"/>
      <c r="K20" s="1"/>
      <c r="R20" s="5"/>
      <c r="T20" s="6"/>
    </row>
    <row r="21" spans="2:20" x14ac:dyDescent="0.25">
      <c r="B21" s="9"/>
      <c r="C21" s="10"/>
      <c r="D21" s="10"/>
      <c r="E21" s="10"/>
      <c r="F21" s="10"/>
      <c r="G21" s="10"/>
      <c r="H21" s="10"/>
      <c r="J21" s="1"/>
      <c r="T21" s="6"/>
    </row>
    <row r="22" spans="2:20" s="6" customFormat="1" x14ac:dyDescent="0.25">
      <c r="B22" s="23" t="s">
        <v>18</v>
      </c>
      <c r="C22" s="11">
        <v>-5</v>
      </c>
      <c r="D22" s="11">
        <v>-3.2</v>
      </c>
      <c r="E22" s="11">
        <v>-2.1</v>
      </c>
      <c r="F22" s="11">
        <v>-1.6</v>
      </c>
      <c r="G22" s="11">
        <v>-1.8</v>
      </c>
      <c r="H22" s="11">
        <v>-1.8</v>
      </c>
    </row>
    <row r="23" spans="2:20" x14ac:dyDescent="0.25">
      <c r="B23" s="22" t="s">
        <v>19</v>
      </c>
      <c r="C23" s="20">
        <f t="shared" ref="C23:H23" si="8">C22/C3</f>
        <v>-6.0422960725075529E-3</v>
      </c>
      <c r="D23" s="20">
        <f t="shared" si="8"/>
        <v>-3.7453183520599256E-3</v>
      </c>
      <c r="E23" s="20">
        <f t="shared" si="8"/>
        <v>-2.1248608722047964E-3</v>
      </c>
      <c r="F23" s="20">
        <f t="shared" si="8"/>
        <v>-1.2829765054927433E-3</v>
      </c>
      <c r="G23" s="20">
        <f t="shared" si="8"/>
        <v>-1.3124316441851986E-3</v>
      </c>
      <c r="H23" s="20">
        <f t="shared" si="8"/>
        <v>-1.0799136069114472E-3</v>
      </c>
    </row>
    <row r="24" spans="2:20" x14ac:dyDescent="0.25">
      <c r="B24" s="9"/>
      <c r="C24" s="10"/>
      <c r="D24" s="10"/>
      <c r="E24" s="10"/>
      <c r="F24" s="10"/>
      <c r="G24" s="10"/>
      <c r="H24" s="10"/>
      <c r="I24" s="6"/>
    </row>
    <row r="25" spans="2:20" s="6" customFormat="1" x14ac:dyDescent="0.25">
      <c r="B25" s="23" t="s">
        <v>20</v>
      </c>
      <c r="C25" s="11">
        <v>22.5</v>
      </c>
      <c r="D25" s="11">
        <v>-64.2</v>
      </c>
      <c r="E25" s="11">
        <v>-38</v>
      </c>
      <c r="F25" s="11">
        <v>47.8</v>
      </c>
      <c r="G25" s="11">
        <v>-143.19999999999999</v>
      </c>
      <c r="H25" s="11">
        <v>14.2</v>
      </c>
      <c r="J25" s="6" t="s">
        <v>21</v>
      </c>
    </row>
    <row r="26" spans="2:20" x14ac:dyDescent="0.25">
      <c r="B26" s="22" t="s">
        <v>22</v>
      </c>
      <c r="C26" s="20">
        <f t="shared" ref="C26:H26" si="9">C25/C3</f>
        <v>2.7190332326283987E-2</v>
      </c>
      <c r="D26" s="20">
        <f t="shared" si="9"/>
        <v>-7.514044943820225E-2</v>
      </c>
      <c r="E26" s="20">
        <f t="shared" si="9"/>
        <v>-3.8449863401801072E-2</v>
      </c>
      <c r="F26" s="20">
        <f t="shared" si="9"/>
        <v>3.8328923101595705E-2</v>
      </c>
      <c r="G26" s="20">
        <f t="shared" si="9"/>
        <v>-0.10441122858184469</v>
      </c>
      <c r="H26" s="20">
        <f t="shared" si="9"/>
        <v>8.5193184545236372E-3</v>
      </c>
      <c r="I26" s="1"/>
      <c r="J26" s="1" t="s">
        <v>23</v>
      </c>
      <c r="K26" s="1">
        <f>AVERAGE(C26:H26)</f>
        <v>-2.3993827923240781E-2</v>
      </c>
    </row>
    <row r="27" spans="2:20" x14ac:dyDescent="0.25">
      <c r="B27" s="9"/>
      <c r="C27" s="10"/>
      <c r="D27" s="10"/>
      <c r="E27" s="10"/>
      <c r="F27" s="10"/>
      <c r="G27" s="10"/>
      <c r="H27" s="10"/>
    </row>
    <row r="28" spans="2:20" x14ac:dyDescent="0.25">
      <c r="B28" s="9"/>
      <c r="C28" s="10"/>
      <c r="D28" s="10"/>
      <c r="E28" s="10"/>
      <c r="F28" s="10"/>
      <c r="G28" s="10"/>
      <c r="H28" s="10"/>
    </row>
    <row r="29" spans="2:20" s="6" customFormat="1" x14ac:dyDescent="0.25">
      <c r="B29" s="23" t="s">
        <v>24</v>
      </c>
      <c r="C29" s="11"/>
      <c r="D29" s="11"/>
      <c r="E29" s="11">
        <v>2.5</v>
      </c>
      <c r="F29" s="11">
        <v>4.5999999999999996</v>
      </c>
      <c r="G29" s="11">
        <v>9.8000000000000007</v>
      </c>
      <c r="H29" s="11">
        <v>14.2</v>
      </c>
      <c r="J29" s="6" t="s">
        <v>25</v>
      </c>
    </row>
    <row r="30" spans="2:20" x14ac:dyDescent="0.25">
      <c r="B30" s="22" t="s">
        <v>26</v>
      </c>
      <c r="C30" s="17">
        <f t="shared" ref="C30:H30" si="10">C29/C3</f>
        <v>0</v>
      </c>
      <c r="D30" s="17">
        <f t="shared" si="10"/>
        <v>0</v>
      </c>
      <c r="E30" s="17">
        <f t="shared" si="10"/>
        <v>2.5295962764342811E-3</v>
      </c>
      <c r="F30" s="17">
        <f t="shared" si="10"/>
        <v>3.6885574532916367E-3</v>
      </c>
      <c r="G30" s="17">
        <f t="shared" si="10"/>
        <v>7.1454611738971932E-3</v>
      </c>
      <c r="H30" s="17">
        <f t="shared" si="10"/>
        <v>8.5193184545236372E-3</v>
      </c>
    </row>
  </sheetData>
  <printOptions headings="1"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8BE-928F-4229-BD33-65BBE915B4C2}">
  <sheetPr>
    <tabColor rgb="FFFF0000"/>
  </sheetPr>
  <dimension ref="B1:V34"/>
  <sheetViews>
    <sheetView showGridLines="0" tabSelected="1" zoomScaleNormal="100" workbookViewId="0">
      <selection activeCell="G20" sqref="G20"/>
    </sheetView>
  </sheetViews>
  <sheetFormatPr defaultColWidth="9.140625" defaultRowHeight="15" x14ac:dyDescent="0.25"/>
  <cols>
    <col min="1" max="1" width="9.140625" style="132"/>
    <col min="2" max="2" width="43.28515625" style="132" bestFit="1" customWidth="1"/>
    <col min="3" max="9" width="16.42578125" style="132" customWidth="1"/>
    <col min="10" max="10" width="11" style="132" customWidth="1"/>
    <col min="11" max="11" width="9.140625" style="132"/>
    <col min="12" max="12" width="19.28515625" style="132" customWidth="1"/>
    <col min="13" max="13" width="41.42578125" style="132" customWidth="1"/>
    <col min="14" max="14" width="10.42578125" style="132" customWidth="1"/>
    <col min="15" max="15" width="10.42578125" style="132" bestFit="1" customWidth="1"/>
    <col min="16" max="16" width="11" style="132" bestFit="1" customWidth="1"/>
    <col min="17" max="19" width="12.140625" style="132" bestFit="1" customWidth="1"/>
    <col min="20" max="16384" width="9.140625" style="132"/>
  </cols>
  <sheetData>
    <row r="1" spans="2:22" ht="45.75" x14ac:dyDescent="0.65">
      <c r="B1" s="434" t="s">
        <v>30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</row>
    <row r="2" spans="2:22" ht="15" customHeight="1" thickBot="1" x14ac:dyDescent="0.3">
      <c r="L2"/>
      <c r="M2"/>
      <c r="N2"/>
      <c r="O2"/>
      <c r="P2"/>
      <c r="Q2"/>
      <c r="R2"/>
      <c r="S2"/>
      <c r="T2"/>
      <c r="U2"/>
      <c r="V2"/>
    </row>
    <row r="3" spans="2:22" ht="15" customHeight="1" thickBot="1" x14ac:dyDescent="0.35">
      <c r="B3" s="326"/>
      <c r="C3" s="435" t="s">
        <v>31</v>
      </c>
      <c r="D3" s="436"/>
      <c r="E3" s="436"/>
      <c r="F3" s="436"/>
      <c r="G3" s="436"/>
      <c r="H3" s="404"/>
      <c r="I3" s="327" t="s">
        <v>32</v>
      </c>
      <c r="L3"/>
      <c r="M3"/>
      <c r="N3"/>
      <c r="O3"/>
      <c r="P3"/>
      <c r="Q3"/>
      <c r="R3"/>
      <c r="S3"/>
      <c r="T3"/>
      <c r="U3"/>
      <c r="V3"/>
    </row>
    <row r="4" spans="2:22" ht="15" customHeight="1" x14ac:dyDescent="0.3">
      <c r="B4" s="328" t="s">
        <v>33</v>
      </c>
      <c r="C4" s="329">
        <v>2019</v>
      </c>
      <c r="D4" s="329">
        <v>2020</v>
      </c>
      <c r="E4" s="329">
        <v>2021</v>
      </c>
      <c r="F4" s="329">
        <v>2022</v>
      </c>
      <c r="G4" s="329">
        <v>2023</v>
      </c>
      <c r="H4" s="329">
        <v>2024</v>
      </c>
      <c r="I4" s="330">
        <v>2025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2:22" ht="15" customHeight="1" x14ac:dyDescent="0.3">
      <c r="B5" s="314"/>
      <c r="C5" s="27"/>
      <c r="D5" s="27"/>
      <c r="E5" s="27"/>
      <c r="F5" s="27"/>
      <c r="G5" s="27" t="s">
        <v>34</v>
      </c>
      <c r="H5" s="27"/>
      <c r="I5" s="315"/>
      <c r="J5"/>
      <c r="K5"/>
      <c r="L5"/>
      <c r="M5"/>
      <c r="N5"/>
      <c r="O5"/>
      <c r="P5"/>
      <c r="Q5"/>
      <c r="R5"/>
      <c r="S5"/>
      <c r="T5"/>
      <c r="U5"/>
      <c r="V5"/>
    </row>
    <row r="6" spans="2:22" ht="15" customHeight="1" x14ac:dyDescent="0.3">
      <c r="B6" s="316" t="s">
        <v>1</v>
      </c>
      <c r="C6" s="333">
        <v>3288.3</v>
      </c>
      <c r="D6" s="333">
        <v>3878.3</v>
      </c>
      <c r="E6" s="333">
        <v>4401.8999999999996</v>
      </c>
      <c r="F6" s="333">
        <v>6256.6</v>
      </c>
      <c r="G6" s="333">
        <v>8119.5</v>
      </c>
      <c r="H6" s="333">
        <v>9619.2999999999993</v>
      </c>
      <c r="I6" s="331">
        <v>10588.1</v>
      </c>
      <c r="J6"/>
      <c r="K6"/>
      <c r="L6"/>
      <c r="M6"/>
      <c r="N6"/>
      <c r="O6"/>
      <c r="P6"/>
      <c r="Q6"/>
      <c r="R6"/>
      <c r="S6"/>
      <c r="T6"/>
      <c r="U6"/>
      <c r="V6"/>
    </row>
    <row r="7" spans="2:22" ht="15" customHeight="1" x14ac:dyDescent="0.3">
      <c r="B7" s="317" t="s">
        <v>3</v>
      </c>
      <c r="C7" s="40"/>
      <c r="D7" s="40">
        <f>IFERROR(((D6/C6)-1),"")</f>
        <v>0.17942401848979705</v>
      </c>
      <c r="E7" s="40">
        <f t="shared" ref="E7:I7" si="0">IFERROR(((E6/D6)-1),"")</f>
        <v>0.13500760642549547</v>
      </c>
      <c r="F7" s="40">
        <f>IFERROR(((F6/E6)-1),"")</f>
        <v>0.4213407846611692</v>
      </c>
      <c r="G7" s="40">
        <f>IFERROR(((G6/F6)-1),"")</f>
        <v>0.29774957644727151</v>
      </c>
      <c r="H7" s="40">
        <f t="shared" si="0"/>
        <v>0.18471580762362216</v>
      </c>
      <c r="I7" s="376">
        <f t="shared" si="0"/>
        <v>0.10071418918216524</v>
      </c>
      <c r="L7"/>
      <c r="M7"/>
      <c r="N7"/>
      <c r="O7"/>
      <c r="P7"/>
      <c r="Q7"/>
      <c r="R7"/>
      <c r="S7"/>
      <c r="T7"/>
      <c r="U7"/>
      <c r="V7"/>
    </row>
    <row r="8" spans="2:22" ht="15" customHeight="1" x14ac:dyDescent="0.3">
      <c r="B8" s="318"/>
      <c r="C8" s="27"/>
      <c r="D8" s="27"/>
      <c r="E8" s="27"/>
      <c r="F8" s="27"/>
      <c r="G8" s="27"/>
      <c r="H8" s="27"/>
      <c r="I8" s="315"/>
      <c r="L8"/>
      <c r="M8"/>
      <c r="N8"/>
      <c r="O8"/>
      <c r="P8"/>
      <c r="Q8"/>
      <c r="R8"/>
      <c r="S8"/>
      <c r="T8"/>
      <c r="U8"/>
      <c r="V8"/>
    </row>
    <row r="9" spans="2:22" ht="15" customHeight="1" x14ac:dyDescent="0.3">
      <c r="B9" s="319" t="s">
        <v>4</v>
      </c>
      <c r="C9" s="429">
        <v>828.3</v>
      </c>
      <c r="D9" s="429">
        <v>1227.4000000000001</v>
      </c>
      <c r="E9" s="429">
        <v>1229.5999999999999</v>
      </c>
      <c r="F9" s="333">
        <v>1598.95</v>
      </c>
      <c r="G9" s="333">
        <v>2017.9</v>
      </c>
      <c r="H9" s="333">
        <v>2586.6</v>
      </c>
      <c r="I9" s="331">
        <v>2952.2</v>
      </c>
      <c r="L9"/>
      <c r="M9"/>
      <c r="N9"/>
      <c r="O9"/>
      <c r="P9"/>
      <c r="Q9"/>
      <c r="R9"/>
      <c r="S9"/>
      <c r="T9"/>
      <c r="U9"/>
      <c r="V9"/>
    </row>
    <row r="10" spans="2:22" ht="15" customHeight="1" x14ac:dyDescent="0.3">
      <c r="B10" s="317" t="s">
        <v>6</v>
      </c>
      <c r="C10" s="430">
        <f>IFERROR(C9/C6,"")</f>
        <v>0.25189307544932027</v>
      </c>
      <c r="D10" s="430">
        <f t="shared" ref="D10:I10" si="1">IFERROR(D9/D6,"")</f>
        <v>0.31647886960781785</v>
      </c>
      <c r="E10" s="430">
        <f t="shared" si="1"/>
        <v>0.27933392398736911</v>
      </c>
      <c r="F10" s="40">
        <f t="shared" si="1"/>
        <v>0.25556212639452736</v>
      </c>
      <c r="G10" s="40">
        <f t="shared" si="1"/>
        <v>0.24852515548987009</v>
      </c>
      <c r="H10" s="40">
        <f t="shared" si="1"/>
        <v>0.26889690518021064</v>
      </c>
      <c r="I10" s="376">
        <f t="shared" si="1"/>
        <v>0.27882245162021513</v>
      </c>
      <c r="L10"/>
      <c r="M10"/>
      <c r="N10"/>
      <c r="O10"/>
      <c r="P10"/>
      <c r="Q10"/>
      <c r="R10"/>
      <c r="S10"/>
      <c r="T10"/>
      <c r="U10"/>
      <c r="V10"/>
    </row>
    <row r="11" spans="2:22" ht="15" customHeight="1" x14ac:dyDescent="0.3">
      <c r="B11" s="318"/>
      <c r="C11" s="27"/>
      <c r="D11" s="27"/>
      <c r="E11" s="27"/>
      <c r="F11" s="27"/>
      <c r="G11" s="27"/>
      <c r="H11" s="27"/>
      <c r="I11" s="315"/>
      <c r="L11"/>
      <c r="M11"/>
      <c r="N11"/>
      <c r="O11"/>
      <c r="P11"/>
      <c r="Q11"/>
      <c r="R11"/>
      <c r="S11"/>
      <c r="T11"/>
      <c r="U11"/>
      <c r="V11"/>
    </row>
    <row r="12" spans="2:22" ht="15" customHeight="1" x14ac:dyDescent="0.3">
      <c r="B12" s="319" t="s">
        <v>7</v>
      </c>
      <c r="C12" s="333">
        <v>122.5</v>
      </c>
      <c r="D12" s="333">
        <v>161.9</v>
      </c>
      <c r="E12" s="333">
        <v>185.5</v>
      </c>
      <c r="F12" s="333">
        <v>224.2</v>
      </c>
      <c r="G12" s="333">
        <v>291.8</v>
      </c>
      <c r="H12" s="333">
        <v>379.4</v>
      </c>
      <c r="I12" s="331">
        <v>446.5</v>
      </c>
      <c r="L12"/>
      <c r="M12"/>
      <c r="N12"/>
      <c r="O12"/>
      <c r="P12"/>
      <c r="Q12"/>
      <c r="R12"/>
      <c r="S12"/>
      <c r="T12"/>
      <c r="U12"/>
      <c r="V12"/>
    </row>
    <row r="13" spans="2:22" ht="15" customHeight="1" x14ac:dyDescent="0.3">
      <c r="B13" s="317" t="s">
        <v>17</v>
      </c>
      <c r="C13" s="40">
        <f>IFERROR(Historicals!$C$12/C6,"")</f>
        <v>3.7253291974576525E-2</v>
      </c>
      <c r="D13" s="40" cm="1">
        <f t="array" ref="D13">IFERROR(Historicals!$D$12/D6,"")</f>
        <v>4.1745094500167598E-2</v>
      </c>
      <c r="E13" s="40" cm="1">
        <f t="array" ref="E13">IFERROR(Historicals!$E$12/E6,"")</f>
        <v>4.214089370499103E-2</v>
      </c>
      <c r="F13" s="40" cm="1">
        <f t="array" ref="F13">IFERROR(Historicals!$E$12/F6,"")</f>
        <v>2.9648690982322666E-2</v>
      </c>
      <c r="G13" s="40" cm="1">
        <f t="array" ref="G13">IFERROR(Historicals!$G$12/G6,"")</f>
        <v>3.5938173532853009E-2</v>
      </c>
      <c r="H13" s="40" cm="1">
        <f t="array" ref="H13">IFERROR(Historicals!$H$12/H6,"")</f>
        <v>3.944153940515422E-2</v>
      </c>
      <c r="I13" s="376" cm="1">
        <f t="array" ref="I13">IFERROR(Historicals!$H$12/I6,"")</f>
        <v>3.5832680084245519E-2</v>
      </c>
      <c r="L13"/>
      <c r="M13"/>
      <c r="N13"/>
      <c r="O13"/>
      <c r="P13"/>
      <c r="Q13"/>
      <c r="R13"/>
      <c r="S13"/>
      <c r="T13"/>
      <c r="U13"/>
      <c r="V13"/>
    </row>
    <row r="14" spans="2:22" ht="15" customHeight="1" x14ac:dyDescent="0.3">
      <c r="B14" s="318"/>
      <c r="C14" s="27"/>
      <c r="D14" s="27"/>
      <c r="E14" s="27"/>
      <c r="F14" s="27"/>
      <c r="G14" s="27"/>
      <c r="H14" s="27"/>
      <c r="I14" s="315"/>
      <c r="L14"/>
      <c r="M14"/>
      <c r="N14"/>
      <c r="O14"/>
      <c r="P14"/>
      <c r="Q14"/>
      <c r="R14"/>
      <c r="S14"/>
      <c r="T14"/>
      <c r="U14"/>
      <c r="V14"/>
    </row>
    <row r="15" spans="2:22" ht="15" customHeight="1" x14ac:dyDescent="0.3">
      <c r="B15" s="319" t="s">
        <v>9</v>
      </c>
      <c r="C15" s="333">
        <f>C9-C12</f>
        <v>705.8</v>
      </c>
      <c r="D15" s="333">
        <f t="shared" ref="D15:H15" si="2">D9-D12</f>
        <v>1065.5</v>
      </c>
      <c r="E15" s="333">
        <f t="shared" si="2"/>
        <v>1044.0999999999999</v>
      </c>
      <c r="F15" s="333">
        <f t="shared" si="2"/>
        <v>1374.75</v>
      </c>
      <c r="G15" s="333">
        <f t="shared" si="2"/>
        <v>1726.1000000000001</v>
      </c>
      <c r="H15" s="333">
        <f t="shared" si="2"/>
        <v>2207.1999999999998</v>
      </c>
      <c r="I15" s="331">
        <v>2505.6999999999998</v>
      </c>
      <c r="L15"/>
      <c r="M15"/>
      <c r="N15"/>
      <c r="O15"/>
      <c r="P15"/>
      <c r="Q15"/>
      <c r="R15"/>
      <c r="S15"/>
      <c r="T15"/>
      <c r="U15"/>
      <c r="V15"/>
    </row>
    <row r="16" spans="2:22" ht="15" customHeight="1" x14ac:dyDescent="0.3">
      <c r="B16" s="317" t="s">
        <v>10</v>
      </c>
      <c r="C16" s="40">
        <f>IFERROR(C15/C6,"")</f>
        <v>0.21463978347474377</v>
      </c>
      <c r="D16" s="40">
        <f t="shared" ref="D16:I16" si="3">IFERROR(D15/D6,"")</f>
        <v>0.27473377510765024</v>
      </c>
      <c r="E16" s="40">
        <f t="shared" si="3"/>
        <v>0.23719303028237806</v>
      </c>
      <c r="F16" s="40">
        <f t="shared" si="3"/>
        <v>0.21972796726656649</v>
      </c>
      <c r="G16" s="40">
        <f t="shared" si="3"/>
        <v>0.21258698195701708</v>
      </c>
      <c r="H16" s="40">
        <f t="shared" si="3"/>
        <v>0.2294553657750564</v>
      </c>
      <c r="I16" s="376">
        <f t="shared" si="3"/>
        <v>0.23665246833709538</v>
      </c>
      <c r="L16"/>
      <c r="M16"/>
      <c r="N16"/>
      <c r="O16"/>
      <c r="P16"/>
      <c r="Q16"/>
      <c r="R16"/>
      <c r="S16"/>
      <c r="T16"/>
      <c r="U16"/>
      <c r="V16"/>
    </row>
    <row r="17" spans="2:22" ht="15" customHeight="1" x14ac:dyDescent="0.3">
      <c r="B17" s="318"/>
      <c r="C17" s="27"/>
      <c r="D17" s="27"/>
      <c r="E17" s="27"/>
      <c r="F17" s="27"/>
      <c r="G17" s="27"/>
      <c r="H17" s="27"/>
      <c r="I17" s="315"/>
      <c r="L17"/>
      <c r="M17"/>
      <c r="N17"/>
      <c r="O17"/>
      <c r="P17"/>
      <c r="Q17"/>
      <c r="R17"/>
      <c r="S17"/>
      <c r="T17"/>
      <c r="U17"/>
      <c r="V17"/>
    </row>
    <row r="18" spans="2:22" ht="15" customHeight="1" x14ac:dyDescent="0.3">
      <c r="B18" s="319" t="s">
        <v>11</v>
      </c>
      <c r="C18" s="333">
        <v>231.4</v>
      </c>
      <c r="D18" s="333">
        <v>251.8</v>
      </c>
      <c r="E18" s="333">
        <v>230.4</v>
      </c>
      <c r="F18" s="333">
        <v>358.5</v>
      </c>
      <c r="G18" s="333">
        <v>477.8</v>
      </c>
      <c r="H18" s="333">
        <v>625.5</v>
      </c>
      <c r="I18" s="331">
        <v>761.5</v>
      </c>
      <c r="L18"/>
      <c r="M18"/>
      <c r="N18"/>
      <c r="O18"/>
      <c r="P18"/>
      <c r="Q18"/>
      <c r="R18"/>
      <c r="S18"/>
      <c r="T18"/>
      <c r="U18"/>
      <c r="V18"/>
    </row>
    <row r="19" spans="2:22" ht="15" customHeight="1" x14ac:dyDescent="0.3">
      <c r="B19" s="317" t="s">
        <v>13</v>
      </c>
      <c r="C19" s="40">
        <f>IFERROR(Historicals!C18/C15,"")</f>
        <v>0.32785491640691417</v>
      </c>
      <c r="D19" s="40">
        <f>IFERROR(Historicals!D18/D15,"")</f>
        <v>0.23632097606757391</v>
      </c>
      <c r="E19" s="40">
        <f>IFERROR(Historicals!E18/E15,"")</f>
        <v>0.22066851834115508</v>
      </c>
      <c r="F19" s="40">
        <f>IFERROR(Historicals!F18/F15,"")</f>
        <v>0.26077468630660122</v>
      </c>
      <c r="G19" s="40">
        <f>IFERROR(Historicals!G18/G15,"")</f>
        <v>0.27680899136782339</v>
      </c>
      <c r="H19" s="40">
        <f>IFERROR(Historicals!H18/H15,"")</f>
        <v>0.2833907212758246</v>
      </c>
      <c r="I19" s="376">
        <f>IFERROR(Historicals!I18/I15,"")</f>
        <v>0.3039070918306262</v>
      </c>
      <c r="J19" s="335"/>
      <c r="L19"/>
      <c r="M19"/>
      <c r="N19"/>
      <c r="O19"/>
      <c r="P19"/>
      <c r="Q19"/>
      <c r="R19"/>
      <c r="S19"/>
      <c r="T19"/>
      <c r="U19"/>
      <c r="V19"/>
    </row>
    <row r="20" spans="2:22" ht="15" customHeight="1" x14ac:dyDescent="0.3">
      <c r="B20" s="320"/>
      <c r="C20" s="332"/>
      <c r="D20" s="332"/>
      <c r="E20" s="332"/>
      <c r="F20" s="332"/>
      <c r="G20" s="332"/>
      <c r="H20" s="332"/>
      <c r="I20" s="321"/>
      <c r="L20"/>
      <c r="M20"/>
      <c r="N20"/>
      <c r="O20"/>
      <c r="P20"/>
      <c r="Q20"/>
      <c r="R20"/>
      <c r="S20"/>
      <c r="T20"/>
      <c r="U20"/>
      <c r="V20"/>
    </row>
    <row r="21" spans="2:22" ht="15" customHeight="1" x14ac:dyDescent="0.3">
      <c r="B21" s="322" t="s">
        <v>15</v>
      </c>
      <c r="C21" s="333">
        <f>C15-C18</f>
        <v>474.4</v>
      </c>
      <c r="D21" s="333">
        <f t="shared" ref="D21:I21" si="4">D15-D18</f>
        <v>813.7</v>
      </c>
      <c r="E21" s="333">
        <f t="shared" si="4"/>
        <v>813.69999999999993</v>
      </c>
      <c r="F21" s="333">
        <f t="shared" si="4"/>
        <v>1016.25</v>
      </c>
      <c r="G21" s="333">
        <f t="shared" si="4"/>
        <v>1248.3000000000002</v>
      </c>
      <c r="H21" s="333">
        <f t="shared" si="4"/>
        <v>1581.6999999999998</v>
      </c>
      <c r="I21" s="331">
        <f t="shared" si="4"/>
        <v>1744.1999999999998</v>
      </c>
      <c r="L21"/>
      <c r="M21"/>
      <c r="N21"/>
      <c r="O21"/>
      <c r="P21"/>
      <c r="Q21"/>
      <c r="R21"/>
      <c r="S21"/>
      <c r="T21"/>
      <c r="U21"/>
      <c r="V21"/>
    </row>
    <row r="22" spans="2:22" ht="15" customHeight="1" x14ac:dyDescent="0.3">
      <c r="B22" s="320"/>
      <c r="C22" s="26"/>
      <c r="D22" s="26"/>
      <c r="E22" s="26"/>
      <c r="F22" s="26"/>
      <c r="G22" s="26"/>
      <c r="H22" s="26"/>
      <c r="I22" s="323"/>
      <c r="L22"/>
      <c r="M22"/>
      <c r="N22"/>
      <c r="O22"/>
      <c r="P22"/>
      <c r="Q22"/>
      <c r="R22"/>
      <c r="S22"/>
      <c r="T22"/>
      <c r="U22"/>
      <c r="V22"/>
    </row>
    <row r="23" spans="2:22" ht="15" customHeight="1" x14ac:dyDescent="0.3">
      <c r="B23" s="322" t="s">
        <v>7</v>
      </c>
      <c r="C23" s="333">
        <f t="shared" ref="C23:I23" si="5">C12</f>
        <v>122.5</v>
      </c>
      <c r="D23" s="333">
        <f t="shared" si="5"/>
        <v>161.9</v>
      </c>
      <c r="E23" s="333">
        <f t="shared" si="5"/>
        <v>185.5</v>
      </c>
      <c r="F23" s="333">
        <f t="shared" si="5"/>
        <v>224.2</v>
      </c>
      <c r="G23" s="333">
        <f t="shared" si="5"/>
        <v>291.8</v>
      </c>
      <c r="H23" s="333">
        <f t="shared" si="5"/>
        <v>379.4</v>
      </c>
      <c r="I23" s="331">
        <f t="shared" si="5"/>
        <v>446.5</v>
      </c>
      <c r="L23"/>
      <c r="M23"/>
      <c r="N23"/>
      <c r="O23"/>
      <c r="P23"/>
      <c r="Q23"/>
      <c r="R23"/>
      <c r="S23"/>
      <c r="T23"/>
      <c r="U23"/>
      <c r="V23"/>
    </row>
    <row r="24" spans="2:22" ht="15" customHeight="1" x14ac:dyDescent="0.3">
      <c r="B24" s="324" t="s">
        <v>17</v>
      </c>
      <c r="C24" s="332">
        <f>IFERROR(C12/C6,"")</f>
        <v>3.7253291974576525E-2</v>
      </c>
      <c r="D24" s="332">
        <f t="shared" ref="D24:I24" si="6">IFERROR(D12/D6,"")</f>
        <v>4.1745094500167598E-2</v>
      </c>
      <c r="E24" s="332">
        <f t="shared" si="6"/>
        <v>4.214089370499103E-2</v>
      </c>
      <c r="F24" s="332">
        <f t="shared" si="6"/>
        <v>3.5834159127960868E-2</v>
      </c>
      <c r="G24" s="332">
        <f t="shared" si="6"/>
        <v>3.5938173532853009E-2</v>
      </c>
      <c r="H24" s="332">
        <f t="shared" si="6"/>
        <v>3.944153940515422E-2</v>
      </c>
      <c r="I24" s="321">
        <f t="shared" si="6"/>
        <v>4.216998328311973E-2</v>
      </c>
      <c r="L24"/>
      <c r="M24"/>
      <c r="N24"/>
      <c r="O24"/>
      <c r="P24"/>
      <c r="Q24"/>
      <c r="R24"/>
      <c r="S24"/>
      <c r="T24"/>
      <c r="U24"/>
      <c r="V24"/>
    </row>
    <row r="25" spans="2:22" ht="15" customHeight="1" x14ac:dyDescent="0.3">
      <c r="B25" s="320"/>
      <c r="C25" s="26"/>
      <c r="D25" s="26"/>
      <c r="E25" s="26"/>
      <c r="F25" s="26"/>
      <c r="G25" s="26"/>
      <c r="H25" s="26"/>
      <c r="I25" s="323"/>
      <c r="L25"/>
      <c r="M25"/>
      <c r="N25"/>
      <c r="O25"/>
      <c r="P25"/>
      <c r="Q25"/>
      <c r="R25"/>
      <c r="S25"/>
      <c r="T25"/>
      <c r="U25"/>
      <c r="V25"/>
    </row>
    <row r="26" spans="2:22" ht="15" customHeight="1" x14ac:dyDescent="0.3">
      <c r="B26" s="322" t="s">
        <v>35</v>
      </c>
      <c r="C26" s="407">
        <v>-225.8</v>
      </c>
      <c r="D26" s="407">
        <v>-225.8</v>
      </c>
      <c r="E26" s="405">
        <v>-283.8</v>
      </c>
      <c r="F26" s="377">
        <v>-394.5</v>
      </c>
      <c r="G26" s="377">
        <v>-638.70000000000005</v>
      </c>
      <c r="H26" s="377">
        <v>-651.9</v>
      </c>
      <c r="I26" s="378">
        <v>-689.2</v>
      </c>
      <c r="L26"/>
      <c r="M26"/>
      <c r="N26"/>
      <c r="O26"/>
      <c r="P26"/>
      <c r="Q26"/>
      <c r="R26"/>
      <c r="S26"/>
      <c r="T26"/>
      <c r="U26"/>
      <c r="V26"/>
    </row>
    <row r="27" spans="2:22" ht="15" customHeight="1" x14ac:dyDescent="0.3">
      <c r="B27" s="324" t="s">
        <v>19</v>
      </c>
      <c r="C27" s="406">
        <f>IFERROR(C26/C6,"")</f>
        <v>-6.8667700635586776E-2</v>
      </c>
      <c r="D27" s="406">
        <f t="shared" ref="D27:I27" si="7">IFERROR(D26/D6,"")</f>
        <v>-5.822138565866488E-2</v>
      </c>
      <c r="E27" s="406">
        <f t="shared" si="7"/>
        <v>-6.4472159749199218E-2</v>
      </c>
      <c r="F27" s="332">
        <f t="shared" si="7"/>
        <v>-6.3053415593133641E-2</v>
      </c>
      <c r="G27" s="332">
        <f t="shared" si="7"/>
        <v>-7.866247921670054E-2</v>
      </c>
      <c r="H27" s="332">
        <f t="shared" si="7"/>
        <v>-6.7770004054349076E-2</v>
      </c>
      <c r="I27" s="321">
        <f t="shared" si="7"/>
        <v>-6.5091942841491862E-2</v>
      </c>
      <c r="L27" t="s">
        <v>34</v>
      </c>
      <c r="M27"/>
      <c r="N27"/>
      <c r="O27"/>
      <c r="P27"/>
      <c r="Q27"/>
      <c r="R27"/>
      <c r="S27"/>
      <c r="T27"/>
      <c r="U27"/>
      <c r="V27"/>
    </row>
    <row r="28" spans="2:22" ht="15" customHeight="1" x14ac:dyDescent="0.3">
      <c r="B28" s="320"/>
      <c r="C28" s="26"/>
      <c r="D28" s="26"/>
      <c r="E28" s="26"/>
      <c r="F28" s="26"/>
      <c r="G28" s="26"/>
      <c r="H28" s="26"/>
      <c r="I28" s="323"/>
      <c r="L28"/>
      <c r="M28"/>
      <c r="N28"/>
      <c r="O28"/>
      <c r="P28"/>
      <c r="Q28"/>
      <c r="R28"/>
      <c r="S28"/>
      <c r="T28"/>
      <c r="U28"/>
      <c r="V28"/>
    </row>
    <row r="29" spans="2:22" ht="15" customHeight="1" x14ac:dyDescent="0.3">
      <c r="B29" s="322" t="s">
        <v>200</v>
      </c>
      <c r="C29" s="394">
        <v>68.3</v>
      </c>
      <c r="D29" s="377">
        <v>-234.9</v>
      </c>
      <c r="E29" s="377">
        <v>-22.5</v>
      </c>
      <c r="F29" s="394">
        <v>103.1</v>
      </c>
      <c r="G29" s="377">
        <v>-581.5</v>
      </c>
      <c r="H29" s="333">
        <v>202.7</v>
      </c>
      <c r="I29" s="331">
        <v>-4.7</v>
      </c>
      <c r="L29"/>
      <c r="M29"/>
      <c r="N29"/>
      <c r="O29"/>
      <c r="P29"/>
      <c r="Q29"/>
      <c r="R29"/>
      <c r="S29"/>
      <c r="T29"/>
      <c r="U29"/>
      <c r="V29"/>
    </row>
    <row r="30" spans="2:22" ht="15" customHeight="1" x14ac:dyDescent="0.3">
      <c r="B30" s="320"/>
      <c r="C30" s="332">
        <f>IFERROR(C29/C6,"")</f>
        <v>2.077061095398838E-2</v>
      </c>
      <c r="D30" s="332">
        <f t="shared" ref="D30:I30" si="8">IFERROR(D29/D6,"")</f>
        <v>-6.056777454039141E-2</v>
      </c>
      <c r="E30" s="332">
        <f t="shared" si="8"/>
        <v>-5.1114291555919037E-3</v>
      </c>
      <c r="F30" s="332">
        <f t="shared" si="8"/>
        <v>1.6478598599878526E-2</v>
      </c>
      <c r="G30" s="332">
        <f t="shared" si="8"/>
        <v>-7.1617710450150876E-2</v>
      </c>
      <c r="H30" s="332">
        <f t="shared" si="8"/>
        <v>2.1072219392263471E-2</v>
      </c>
      <c r="I30" s="321">
        <f t="shared" si="8"/>
        <v>-4.4389456087494454E-4</v>
      </c>
      <c r="L30"/>
      <c r="M30"/>
      <c r="N30"/>
      <c r="O30"/>
      <c r="P30"/>
      <c r="Q30"/>
      <c r="R30"/>
      <c r="S30"/>
      <c r="T30"/>
      <c r="U30"/>
      <c r="V30"/>
    </row>
    <row r="31" spans="2:22" ht="15" customHeight="1" x14ac:dyDescent="0.3">
      <c r="B31" s="320"/>
      <c r="C31" s="332"/>
      <c r="D31" s="332"/>
      <c r="E31" s="332"/>
      <c r="F31" s="332"/>
      <c r="G31" s="332"/>
      <c r="H31" s="332"/>
      <c r="I31" s="321"/>
      <c r="L31"/>
      <c r="M31"/>
      <c r="N31"/>
      <c r="O31"/>
      <c r="P31"/>
      <c r="Q31"/>
      <c r="R31"/>
      <c r="S31"/>
      <c r="T31"/>
      <c r="U31"/>
      <c r="V31"/>
    </row>
    <row r="32" spans="2:22" ht="15" customHeight="1" x14ac:dyDescent="0.3">
      <c r="B32" s="322"/>
      <c r="C32" s="333"/>
      <c r="D32" s="333"/>
      <c r="E32" s="333"/>
      <c r="F32" s="333"/>
      <c r="G32" s="333"/>
      <c r="H32" s="333"/>
      <c r="I32" s="331"/>
      <c r="L32"/>
      <c r="M32"/>
      <c r="N32"/>
      <c r="O32"/>
      <c r="P32"/>
      <c r="Q32"/>
      <c r="R32"/>
      <c r="S32"/>
      <c r="T32"/>
      <c r="U32"/>
      <c r="V32"/>
    </row>
    <row r="33" spans="2:22" ht="15" customHeight="1" thickBot="1" x14ac:dyDescent="0.35">
      <c r="B33" s="334"/>
      <c r="C33" s="325"/>
      <c r="D33" s="325"/>
      <c r="E33" s="325"/>
      <c r="F33" s="325"/>
      <c r="G33" s="325"/>
      <c r="H33" s="403"/>
      <c r="I33" s="375"/>
      <c r="L33"/>
      <c r="M33"/>
      <c r="N33"/>
      <c r="O33"/>
      <c r="P33"/>
      <c r="Q33"/>
      <c r="R33"/>
      <c r="S33"/>
      <c r="T33"/>
      <c r="U33"/>
      <c r="V33"/>
    </row>
    <row r="34" spans="2:22" ht="15" customHeight="1" x14ac:dyDescent="0.25">
      <c r="L34"/>
      <c r="M34"/>
      <c r="N34"/>
      <c r="O34"/>
      <c r="P34"/>
      <c r="Q34"/>
      <c r="R34"/>
      <c r="S34"/>
      <c r="T34"/>
      <c r="U34"/>
      <c r="V34"/>
    </row>
  </sheetData>
  <mergeCells count="2">
    <mergeCell ref="B1:V1"/>
    <mergeCell ref="C3:G3"/>
  </mergeCells>
  <pageMargins left="0.7" right="0.7" top="0.75" bottom="0.75" header="0.3" footer="0.3"/>
  <pageSetup scale="3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0C90-D3C3-9946-AC5E-6C68ECFA4EEA}">
  <sheetPr>
    <tabColor rgb="FFFF0000"/>
  </sheetPr>
  <dimension ref="B1:V59"/>
  <sheetViews>
    <sheetView zoomScale="80" zoomScaleNormal="80" workbookViewId="0">
      <selection activeCell="B21" sqref="B21"/>
    </sheetView>
  </sheetViews>
  <sheetFormatPr defaultColWidth="8.7109375" defaultRowHeight="15" x14ac:dyDescent="0.25"/>
  <cols>
    <col min="1" max="1" width="8.7109375" style="25"/>
    <col min="2" max="2" width="44" style="25" customWidth="1"/>
    <col min="3" max="10" width="16.7109375" style="25" customWidth="1"/>
    <col min="11" max="11" width="36.140625" style="25" customWidth="1"/>
    <col min="12" max="12" width="14.7109375" style="25" customWidth="1"/>
    <col min="13" max="13" width="16.7109375" style="25" customWidth="1"/>
    <col min="14" max="14" width="35.85546875" style="25" customWidth="1"/>
    <col min="15" max="15" width="14.140625" style="25" customWidth="1"/>
    <col min="16" max="22" width="16.7109375" style="25" customWidth="1"/>
    <col min="23" max="16384" width="8.7109375" style="25"/>
  </cols>
  <sheetData>
    <row r="1" spans="2:22" ht="45.75" x14ac:dyDescent="0.65">
      <c r="B1" s="434" t="s">
        <v>72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</row>
    <row r="3" spans="2:22" ht="18.75" x14ac:dyDescent="0.3">
      <c r="B3" s="122" t="s">
        <v>37</v>
      </c>
      <c r="C3" s="123">
        <v>2025</v>
      </c>
      <c r="D3" s="426">
        <v>2026</v>
      </c>
      <c r="E3" s="425">
        <v>2027</v>
      </c>
      <c r="F3" s="426">
        <v>2028</v>
      </c>
      <c r="G3" s="425">
        <v>2029</v>
      </c>
      <c r="H3" s="426">
        <v>2030</v>
      </c>
      <c r="I3" s="425">
        <v>2031</v>
      </c>
      <c r="J3" s="101"/>
      <c r="K3" s="439" t="s">
        <v>199</v>
      </c>
      <c r="L3" s="439"/>
      <c r="M3" s="101"/>
      <c r="P3" s="101"/>
      <c r="Q3" s="101"/>
      <c r="R3" s="101"/>
      <c r="S3" s="101"/>
      <c r="T3" s="101"/>
    </row>
    <row r="4" spans="2:22" ht="18.75" x14ac:dyDescent="0.3">
      <c r="B4" s="27"/>
      <c r="C4" s="28" t="s">
        <v>40</v>
      </c>
      <c r="D4" s="27"/>
      <c r="E4" s="27"/>
      <c r="F4" s="27"/>
      <c r="G4" s="27"/>
      <c r="H4" s="27"/>
      <c r="I4" s="27"/>
      <c r="J4" s="101"/>
      <c r="K4" s="26" t="s">
        <v>41</v>
      </c>
      <c r="L4" s="29">
        <f>C42</f>
        <v>9.1999999999999998E-2</v>
      </c>
      <c r="M4" s="101"/>
      <c r="P4" s="101"/>
      <c r="Q4" s="101"/>
      <c r="R4" s="101"/>
      <c r="S4" s="101"/>
      <c r="T4" s="101"/>
    </row>
    <row r="5" spans="2:22" ht="18.75" x14ac:dyDescent="0.3">
      <c r="B5" s="32" t="s">
        <v>1</v>
      </c>
      <c r="C5" s="33">
        <f>Historicals!I6</f>
        <v>10588.1</v>
      </c>
      <c r="D5" s="34">
        <f t="shared" ref="D5:I5" si="0">C5*(1+D6)</f>
        <v>11011.624000000002</v>
      </c>
      <c r="E5" s="34">
        <f t="shared" si="0"/>
        <v>11441.077336</v>
      </c>
      <c r="F5" s="34">
        <f t="shared" si="0"/>
        <v>11875.838274768001</v>
      </c>
      <c r="G5" s="34">
        <f t="shared" si="0"/>
        <v>12315.244290934415</v>
      </c>
      <c r="H5" s="34">
        <f t="shared" si="0"/>
        <v>12758.593085408054</v>
      </c>
      <c r="I5" s="34">
        <f t="shared" si="0"/>
        <v>13205.143843397334</v>
      </c>
      <c r="J5" s="101"/>
      <c r="K5" s="26" t="s">
        <v>203</v>
      </c>
      <c r="L5" s="102">
        <f>I5</f>
        <v>13205.143843397334</v>
      </c>
      <c r="M5" s="101"/>
      <c r="P5" s="101"/>
      <c r="Q5" s="101"/>
      <c r="R5" s="101"/>
      <c r="S5" s="101"/>
      <c r="T5" s="101"/>
    </row>
    <row r="6" spans="2:22" ht="18.75" x14ac:dyDescent="0.3">
      <c r="B6" s="38" t="s">
        <v>3</v>
      </c>
      <c r="C6" s="39">
        <f>Historicals!I7</f>
        <v>0.10071418918216524</v>
      </c>
      <c r="D6" s="40">
        <v>0.04</v>
      </c>
      <c r="E6" s="40">
        <f>D6-0.001</f>
        <v>3.9E-2</v>
      </c>
      <c r="F6" s="40">
        <f t="shared" ref="F6:I6" si="1">E6-0.001</f>
        <v>3.7999999999999999E-2</v>
      </c>
      <c r="G6" s="40">
        <f t="shared" si="1"/>
        <v>3.6999999999999998E-2</v>
      </c>
      <c r="H6" s="40">
        <f t="shared" si="1"/>
        <v>3.5999999999999997E-2</v>
      </c>
      <c r="I6" s="40">
        <f t="shared" si="1"/>
        <v>3.4999999999999996E-2</v>
      </c>
      <c r="J6" s="101"/>
      <c r="K6" s="26" t="s">
        <v>202</v>
      </c>
      <c r="L6" s="402">
        <v>2</v>
      </c>
      <c r="M6" s="380"/>
      <c r="P6" s="101"/>
      <c r="Q6" s="101"/>
      <c r="R6" s="101"/>
      <c r="S6" s="101"/>
      <c r="T6" s="101"/>
    </row>
    <row r="7" spans="2:22" ht="18.75" x14ac:dyDescent="0.3">
      <c r="B7" s="44"/>
      <c r="C7" s="28"/>
      <c r="D7" s="27"/>
      <c r="E7" s="27"/>
      <c r="F7" s="27"/>
      <c r="G7" s="27"/>
      <c r="H7" s="27"/>
      <c r="I7" s="27"/>
      <c r="J7" s="101"/>
      <c r="K7" s="26" t="s">
        <v>51</v>
      </c>
      <c r="L7" s="102">
        <f>L5*L6</f>
        <v>26410.287686794669</v>
      </c>
      <c r="M7" s="101"/>
      <c r="P7" s="101"/>
      <c r="Q7" s="101"/>
      <c r="R7" s="101"/>
      <c r="S7" s="101"/>
      <c r="T7" s="101"/>
    </row>
    <row r="8" spans="2:22" ht="18.75" x14ac:dyDescent="0.3">
      <c r="B8" s="46" t="s">
        <v>4</v>
      </c>
      <c r="C8" s="33">
        <f>Historicals!I9</f>
        <v>2952.2</v>
      </c>
      <c r="D8" s="34">
        <f t="shared" ref="D8:I8" si="2">D9*D5</f>
        <v>3050.2198480000006</v>
      </c>
      <c r="E8" s="34">
        <f t="shared" si="2"/>
        <v>3157.7373447360005</v>
      </c>
      <c r="F8" s="34">
        <f t="shared" si="2"/>
        <v>3265.8555255612005</v>
      </c>
      <c r="G8" s="34">
        <f t="shared" si="2"/>
        <v>3374.3769357160299</v>
      </c>
      <c r="H8" s="34">
        <f t="shared" si="2"/>
        <v>3483.0959123163989</v>
      </c>
      <c r="I8" s="34">
        <f t="shared" si="2"/>
        <v>3591.7991254040753</v>
      </c>
      <c r="J8" s="101"/>
      <c r="K8" s="26" t="s">
        <v>52</v>
      </c>
      <c r="L8" s="50">
        <f>1/((1+I42)^(I3-D3))</f>
        <v>0.64400139507566645</v>
      </c>
      <c r="M8" s="101"/>
      <c r="P8" s="101"/>
      <c r="Q8" s="101"/>
      <c r="R8" s="101"/>
      <c r="S8" s="101"/>
      <c r="T8" s="101"/>
    </row>
    <row r="9" spans="2:22" ht="18.75" x14ac:dyDescent="0.3">
      <c r="B9" s="38" t="s">
        <v>6</v>
      </c>
      <c r="C9" s="39">
        <f>Historicals!I10</f>
        <v>0.27882245162021513</v>
      </c>
      <c r="D9" s="40">
        <v>0.27700000000000002</v>
      </c>
      <c r="E9" s="40">
        <f>D9-0.001</f>
        <v>0.27600000000000002</v>
      </c>
      <c r="F9" s="40">
        <f t="shared" ref="F9:I9" si="3">E9-0.001</f>
        <v>0.27500000000000002</v>
      </c>
      <c r="G9" s="40">
        <f t="shared" si="3"/>
        <v>0.27400000000000002</v>
      </c>
      <c r="H9" s="40">
        <f t="shared" si="3"/>
        <v>0.27300000000000002</v>
      </c>
      <c r="I9" s="40">
        <f t="shared" si="3"/>
        <v>0.27200000000000002</v>
      </c>
      <c r="J9" s="101"/>
      <c r="K9" s="101"/>
      <c r="L9" s="101"/>
      <c r="M9" s="101"/>
      <c r="P9" s="101"/>
      <c r="Q9" s="101"/>
      <c r="R9" s="101"/>
      <c r="S9" s="101"/>
      <c r="T9" s="101"/>
    </row>
    <row r="10" spans="2:22" ht="18.75" x14ac:dyDescent="0.3">
      <c r="B10" s="44"/>
      <c r="C10" s="28"/>
      <c r="D10" s="27"/>
      <c r="E10" s="27"/>
      <c r="F10" s="27"/>
      <c r="G10" s="27"/>
      <c r="H10" s="27"/>
      <c r="I10" s="27"/>
      <c r="J10" s="101"/>
      <c r="K10" s="126" t="s">
        <v>74</v>
      </c>
      <c r="L10" s="127"/>
      <c r="M10" s="101"/>
      <c r="P10" s="101"/>
      <c r="Q10" s="101"/>
      <c r="R10" s="101"/>
      <c r="S10" s="101"/>
      <c r="T10" s="101"/>
    </row>
    <row r="11" spans="2:22" ht="18.75" x14ac:dyDescent="0.3">
      <c r="B11" s="46" t="s">
        <v>7</v>
      </c>
      <c r="C11" s="33">
        <f>Historicals!I12</f>
        <v>446.5</v>
      </c>
      <c r="D11" s="34">
        <f t="shared" ref="D11:I11" si="4">D12*D5</f>
        <v>440.46496000000008</v>
      </c>
      <c r="E11" s="34">
        <f t="shared" si="4"/>
        <v>457.64309344000003</v>
      </c>
      <c r="F11" s="34">
        <f t="shared" si="4"/>
        <v>475.03353099072001</v>
      </c>
      <c r="G11" s="34">
        <f t="shared" si="4"/>
        <v>504.92501592831104</v>
      </c>
      <c r="H11" s="34">
        <f t="shared" si="4"/>
        <v>523.10231650173023</v>
      </c>
      <c r="I11" s="34">
        <f t="shared" si="4"/>
        <v>541.41089757929069</v>
      </c>
      <c r="J11" s="101"/>
      <c r="K11" s="26" t="s">
        <v>54</v>
      </c>
      <c r="L11" s="103">
        <f>SUM(D46:I46)</f>
        <v>6578.7542043134763</v>
      </c>
      <c r="M11" s="101"/>
      <c r="P11" s="101"/>
      <c r="Q11" s="101"/>
      <c r="R11" s="101"/>
      <c r="S11" s="101"/>
      <c r="T11" s="101"/>
    </row>
    <row r="12" spans="2:22" ht="18.75" x14ac:dyDescent="0.3">
      <c r="B12" s="38" t="s">
        <v>17</v>
      </c>
      <c r="C12" s="39">
        <f>C11/C5</f>
        <v>4.216998328311973E-2</v>
      </c>
      <c r="D12" s="40">
        <v>0.04</v>
      </c>
      <c r="E12" s="40">
        <f t="shared" ref="E12:I12" si="5">D12</f>
        <v>0.04</v>
      </c>
      <c r="F12" s="40">
        <v>0.04</v>
      </c>
      <c r="G12" s="40">
        <v>4.1000000000000002E-2</v>
      </c>
      <c r="H12" s="40">
        <f t="shared" si="5"/>
        <v>4.1000000000000002E-2</v>
      </c>
      <c r="I12" s="40">
        <f t="shared" si="5"/>
        <v>4.1000000000000002E-2</v>
      </c>
      <c r="J12" s="101"/>
      <c r="K12" s="26" t="s">
        <v>55</v>
      </c>
      <c r="L12" s="53">
        <f>L7*L8</f>
        <v>17008.262114645462</v>
      </c>
      <c r="M12" s="101"/>
      <c r="P12" s="101"/>
      <c r="Q12" s="101"/>
      <c r="R12" s="101"/>
      <c r="S12" s="101"/>
      <c r="T12" s="101"/>
    </row>
    <row r="13" spans="2:22" ht="18.75" x14ac:dyDescent="0.3">
      <c r="B13" s="44"/>
      <c r="C13" s="28"/>
      <c r="D13" s="27"/>
      <c r="E13" s="27"/>
      <c r="F13" s="27"/>
      <c r="G13" s="27"/>
      <c r="H13" s="27"/>
      <c r="I13" s="27"/>
      <c r="J13" s="101"/>
      <c r="K13" s="54" t="s">
        <v>56</v>
      </c>
      <c r="L13" s="55">
        <f>L12/L15</f>
        <v>0.72108578230704168</v>
      </c>
      <c r="M13" s="101"/>
      <c r="P13" s="101"/>
      <c r="Q13" s="101"/>
      <c r="R13" s="101"/>
      <c r="S13" s="101"/>
      <c r="T13" s="101"/>
    </row>
    <row r="14" spans="2:22" ht="18.75" x14ac:dyDescent="0.3">
      <c r="B14" s="46" t="s">
        <v>9</v>
      </c>
      <c r="C14" s="33">
        <f>C8-C11</f>
        <v>2505.6999999999998</v>
      </c>
      <c r="D14" s="51">
        <f t="shared" ref="D14:I14" si="6">D8-D11</f>
        <v>2609.7548880000004</v>
      </c>
      <c r="E14" s="51">
        <f t="shared" si="6"/>
        <v>2700.0942512960005</v>
      </c>
      <c r="F14" s="51">
        <f t="shared" si="6"/>
        <v>2790.8219945704805</v>
      </c>
      <c r="G14" s="51">
        <f t="shared" si="6"/>
        <v>2869.4519197877189</v>
      </c>
      <c r="H14" s="51">
        <f t="shared" si="6"/>
        <v>2959.9935958146689</v>
      </c>
      <c r="I14" s="51">
        <f t="shared" si="6"/>
        <v>3050.3882278247847</v>
      </c>
      <c r="J14" s="101"/>
      <c r="K14" s="26"/>
      <c r="L14" s="53"/>
      <c r="M14" s="101"/>
      <c r="N14" s="25">
        <v>14.64</v>
      </c>
      <c r="P14" s="101"/>
      <c r="Q14" s="101"/>
      <c r="R14" s="440"/>
      <c r="S14" s="440"/>
      <c r="T14" s="101"/>
    </row>
    <row r="15" spans="2:22" ht="18.75" x14ac:dyDescent="0.3">
      <c r="B15" s="38" t="s">
        <v>10</v>
      </c>
      <c r="C15" s="39">
        <f t="shared" ref="C15:I15" si="7">C14/C5</f>
        <v>0.23665246833709538</v>
      </c>
      <c r="D15" s="40">
        <f t="shared" si="7"/>
        <v>0.23699999999999999</v>
      </c>
      <c r="E15" s="40">
        <f t="shared" si="7"/>
        <v>0.23600000000000004</v>
      </c>
      <c r="F15" s="40">
        <f t="shared" si="7"/>
        <v>0.23500000000000001</v>
      </c>
      <c r="G15" s="40">
        <f t="shared" si="7"/>
        <v>0.23300000000000001</v>
      </c>
      <c r="H15" s="40">
        <f t="shared" si="7"/>
        <v>0.23200000000000001</v>
      </c>
      <c r="I15" s="40">
        <f t="shared" si="7"/>
        <v>0.23100000000000004</v>
      </c>
      <c r="J15" s="101"/>
      <c r="K15" s="26" t="s">
        <v>53</v>
      </c>
      <c r="L15" s="53">
        <f>L11+L12</f>
        <v>23587.016318958937</v>
      </c>
      <c r="M15" s="101"/>
      <c r="N15" s="25">
        <v>121.9</v>
      </c>
      <c r="P15" s="101"/>
      <c r="Q15" s="101"/>
      <c r="R15" s="27"/>
      <c r="S15" s="104"/>
      <c r="T15" s="101"/>
    </row>
    <row r="16" spans="2:22" ht="18.75" x14ac:dyDescent="0.3">
      <c r="B16" s="44"/>
      <c r="C16" s="28"/>
      <c r="D16" s="27"/>
      <c r="E16" s="27"/>
      <c r="F16" s="27"/>
      <c r="G16" s="27"/>
      <c r="H16" s="27"/>
      <c r="I16" s="27"/>
      <c r="J16" s="101"/>
      <c r="K16" s="26"/>
      <c r="L16" s="57"/>
      <c r="M16" s="101"/>
      <c r="N16" s="25">
        <f>N15*N14</f>
        <v>1784.6160000000002</v>
      </c>
      <c r="P16" s="101"/>
      <c r="Q16" s="101"/>
      <c r="R16" s="27"/>
      <c r="S16" s="104"/>
      <c r="T16" s="101"/>
    </row>
    <row r="17" spans="2:20" ht="18.75" x14ac:dyDescent="0.3">
      <c r="B17" s="46" t="s">
        <v>11</v>
      </c>
      <c r="C17" s="33">
        <f>Historicals!I18</f>
        <v>761.5</v>
      </c>
      <c r="D17" s="51">
        <f>D14*D18</f>
        <v>717.68259420000015</v>
      </c>
      <c r="E17" s="51">
        <f t="shared" ref="E17:I17" si="8">E14*E18</f>
        <v>729.02544784992017</v>
      </c>
      <c r="F17" s="51">
        <f t="shared" si="8"/>
        <v>753.5219385340298</v>
      </c>
      <c r="G17" s="51">
        <f t="shared" si="8"/>
        <v>774.75201834268421</v>
      </c>
      <c r="H17" s="51">
        <f t="shared" si="8"/>
        <v>799.19827086996065</v>
      </c>
      <c r="I17" s="51">
        <f t="shared" si="8"/>
        <v>823.60482151269196</v>
      </c>
      <c r="J17" s="101"/>
      <c r="K17" s="126" t="s">
        <v>58</v>
      </c>
      <c r="L17" s="128"/>
      <c r="M17" s="101"/>
      <c r="P17" s="101"/>
      <c r="Q17" s="101"/>
      <c r="R17" s="26"/>
      <c r="S17" s="105"/>
      <c r="T17" s="101"/>
    </row>
    <row r="18" spans="2:20" ht="18.75" x14ac:dyDescent="0.3">
      <c r="B18" s="38" t="s">
        <v>13</v>
      </c>
      <c r="C18" s="56">
        <f>C17/C14</f>
        <v>0.3039070918306262</v>
      </c>
      <c r="D18" s="40">
        <v>0.27500000000000002</v>
      </c>
      <c r="E18" s="40">
        <v>0.27</v>
      </c>
      <c r="F18" s="40">
        <v>0.27</v>
      </c>
      <c r="G18" s="40">
        <v>0.27</v>
      </c>
      <c r="H18" s="40">
        <v>0.27</v>
      </c>
      <c r="I18" s="40">
        <v>0.27</v>
      </c>
      <c r="J18" s="101"/>
      <c r="K18" s="26" t="s">
        <v>53</v>
      </c>
      <c r="L18" s="53">
        <f>L15</f>
        <v>23587.016318958937</v>
      </c>
      <c r="M18" s="101"/>
      <c r="N18" s="427">
        <f>L24</f>
        <v>209.77289843280505</v>
      </c>
      <c r="P18" s="101"/>
      <c r="Q18" s="101"/>
      <c r="R18" s="26"/>
      <c r="S18" s="104"/>
      <c r="T18" s="101"/>
    </row>
    <row r="19" spans="2:20" ht="18.75" x14ac:dyDescent="0.3">
      <c r="B19" s="46" t="s">
        <v>204</v>
      </c>
      <c r="C19" s="431">
        <f>C14-C17</f>
        <v>1744.1999999999998</v>
      </c>
      <c r="D19" s="431">
        <f>D14-D17</f>
        <v>1892.0722938000004</v>
      </c>
      <c r="E19" s="431">
        <f t="shared" ref="E19:I19" si="9">E14-E17</f>
        <v>1971.0688034460804</v>
      </c>
      <c r="F19" s="431">
        <f t="shared" si="9"/>
        <v>2037.3000560364508</v>
      </c>
      <c r="G19" s="431">
        <f t="shared" si="9"/>
        <v>2094.6999014450348</v>
      </c>
      <c r="H19" s="431">
        <f t="shared" si="9"/>
        <v>2160.7953249447082</v>
      </c>
      <c r="I19" s="431">
        <f t="shared" si="9"/>
        <v>2226.7834063120927</v>
      </c>
      <c r="J19" s="101"/>
      <c r="K19" s="26" t="s">
        <v>59</v>
      </c>
      <c r="L19" s="58"/>
      <c r="M19" s="101"/>
      <c r="N19" s="25">
        <v>251.08</v>
      </c>
      <c r="P19" s="101"/>
      <c r="Q19" s="101"/>
      <c r="R19" s="26"/>
      <c r="S19" s="106"/>
      <c r="T19" s="101"/>
    </row>
    <row r="20" spans="2:20" ht="18.75" x14ac:dyDescent="0.3">
      <c r="B20" s="432" t="s">
        <v>205</v>
      </c>
      <c r="C20" s="433">
        <f>C19/$L$23</f>
        <v>14.308449548810499</v>
      </c>
      <c r="D20" s="433">
        <f t="shared" ref="D20:I20" si="10">D19/$L$23</f>
        <v>15.521511844134539</v>
      </c>
      <c r="E20" s="433">
        <f t="shared" si="10"/>
        <v>16.169555401526502</v>
      </c>
      <c r="F20" s="433">
        <f t="shared" si="10"/>
        <v>16.712879869043896</v>
      </c>
      <c r="G20" s="433">
        <f t="shared" si="10"/>
        <v>17.183756369524485</v>
      </c>
      <c r="H20" s="433">
        <f t="shared" si="10"/>
        <v>17.72596657050622</v>
      </c>
      <c r="I20" s="433">
        <f t="shared" si="10"/>
        <v>18.267296196161546</v>
      </c>
      <c r="J20" s="101"/>
      <c r="K20" s="26" t="s">
        <v>60</v>
      </c>
      <c r="L20" s="58">
        <v>0</v>
      </c>
      <c r="M20" s="101"/>
      <c r="P20" s="101"/>
      <c r="Q20" s="101"/>
      <c r="R20" s="101"/>
      <c r="S20" s="101"/>
      <c r="T20" s="101"/>
    </row>
    <row r="21" spans="2:20" ht="18.75" x14ac:dyDescent="0.3">
      <c r="B21" s="432"/>
      <c r="C21" s="433"/>
      <c r="D21" s="433"/>
      <c r="E21" s="433"/>
      <c r="F21" s="433"/>
      <c r="G21" s="433"/>
      <c r="H21" s="433"/>
      <c r="I21" s="433"/>
      <c r="J21" s="101"/>
      <c r="K21" s="26" t="s">
        <v>61</v>
      </c>
      <c r="L21" s="53">
        <v>1984.3</v>
      </c>
      <c r="M21" s="101"/>
      <c r="N21" s="428">
        <f>(N19-N18)/N19</f>
        <v>0.16451768984863374</v>
      </c>
      <c r="P21" s="101"/>
      <c r="Q21" s="101"/>
      <c r="R21" s="101"/>
      <c r="S21" s="101"/>
      <c r="T21" s="101"/>
    </row>
    <row r="22" spans="2:20" ht="18.75" x14ac:dyDescent="0.3">
      <c r="B22" s="38"/>
      <c r="C22" s="40"/>
      <c r="D22" s="40"/>
      <c r="E22" s="40"/>
      <c r="F22" s="40"/>
      <c r="G22" s="40"/>
      <c r="H22" s="40"/>
      <c r="I22" s="40"/>
      <c r="J22" s="101"/>
      <c r="K22" s="26" t="s">
        <v>62</v>
      </c>
      <c r="L22" s="53">
        <f>SUM(L18:L21)</f>
        <v>25571.316318958936</v>
      </c>
      <c r="M22" s="101"/>
      <c r="P22" s="101"/>
      <c r="Q22" s="101"/>
      <c r="R22" s="101"/>
      <c r="S22" s="101"/>
      <c r="T22" s="101"/>
    </row>
    <row r="23" spans="2:20" ht="18.75" x14ac:dyDescent="0.3">
      <c r="B23" s="122" t="s">
        <v>57</v>
      </c>
      <c r="C23" s="125">
        <v>2024</v>
      </c>
      <c r="D23" s="124">
        <v>2025</v>
      </c>
      <c r="E23" s="124">
        <v>2026</v>
      </c>
      <c r="F23" s="124">
        <v>2027</v>
      </c>
      <c r="G23" s="124">
        <v>2028</v>
      </c>
      <c r="H23" s="124">
        <v>2029</v>
      </c>
      <c r="I23" s="124">
        <v>2030</v>
      </c>
      <c r="J23" s="101"/>
      <c r="K23" s="26" t="s">
        <v>63</v>
      </c>
      <c r="L23" s="96">
        <v>121.9</v>
      </c>
      <c r="M23" s="101"/>
      <c r="P23" s="101"/>
      <c r="Q23" s="101"/>
      <c r="R23" s="101"/>
      <c r="S23" s="101"/>
      <c r="T23" s="101"/>
    </row>
    <row r="24" spans="2:20" ht="19.5" thickBot="1" x14ac:dyDescent="0.35">
      <c r="B24" s="27"/>
      <c r="C24" s="28"/>
      <c r="D24" s="27"/>
      <c r="E24" s="27"/>
      <c r="F24" s="27"/>
      <c r="G24" s="27"/>
      <c r="H24" s="27"/>
      <c r="I24" s="27"/>
      <c r="J24" s="101"/>
      <c r="K24" s="126" t="s">
        <v>64</v>
      </c>
      <c r="L24" s="393">
        <f>L22/L23</f>
        <v>209.77289843280505</v>
      </c>
      <c r="M24" s="101"/>
      <c r="N24" s="422"/>
      <c r="P24" s="423"/>
      <c r="Q24" s="101"/>
      <c r="R24" s="101"/>
      <c r="S24" s="101"/>
      <c r="T24" s="101"/>
    </row>
    <row r="25" spans="2:20" ht="19.5" thickTop="1" x14ac:dyDescent="0.3">
      <c r="B25" s="46" t="s">
        <v>15</v>
      </c>
      <c r="C25" s="33">
        <f t="shared" ref="C25:I25" si="11">C14-C17</f>
        <v>1744.1999999999998</v>
      </c>
      <c r="D25" s="34">
        <f t="shared" si="11"/>
        <v>1892.0722938000004</v>
      </c>
      <c r="E25" s="34">
        <f t="shared" si="11"/>
        <v>1971.0688034460804</v>
      </c>
      <c r="F25" s="34">
        <f t="shared" si="11"/>
        <v>2037.3000560364508</v>
      </c>
      <c r="G25" s="34">
        <f t="shared" si="11"/>
        <v>2094.6999014450348</v>
      </c>
      <c r="H25" s="34">
        <f t="shared" si="11"/>
        <v>2160.7953249447082</v>
      </c>
      <c r="I25" s="34">
        <f t="shared" si="11"/>
        <v>2226.7834063120927</v>
      </c>
      <c r="J25" s="101"/>
      <c r="K25" s="101"/>
      <c r="L25" s="101"/>
      <c r="M25" s="101"/>
      <c r="P25" s="424"/>
      <c r="Q25" s="424"/>
      <c r="R25" s="101"/>
      <c r="S25" s="101"/>
      <c r="T25" s="101"/>
    </row>
    <row r="26" spans="2:20" ht="18.75" x14ac:dyDescent="0.3">
      <c r="B26" s="44"/>
      <c r="C26" s="28"/>
      <c r="D26" s="27"/>
      <c r="E26" s="27"/>
      <c r="F26" s="27"/>
      <c r="G26" s="27"/>
      <c r="H26" s="27"/>
      <c r="I26" s="27"/>
      <c r="J26" s="101"/>
      <c r="K26" s="101"/>
      <c r="L26" s="101"/>
      <c r="M26" s="101"/>
      <c r="P26" s="101"/>
      <c r="Q26" s="101"/>
      <c r="R26" s="101"/>
      <c r="S26" s="101"/>
      <c r="T26" s="101"/>
    </row>
    <row r="27" spans="2:20" ht="18.75" x14ac:dyDescent="0.3">
      <c r="B27" s="46" t="s">
        <v>16</v>
      </c>
      <c r="C27" s="33">
        <f t="shared" ref="C27:I27" si="12">C11</f>
        <v>446.5</v>
      </c>
      <c r="D27" s="34">
        <f t="shared" si="12"/>
        <v>440.46496000000008</v>
      </c>
      <c r="E27" s="34">
        <f t="shared" si="12"/>
        <v>457.64309344000003</v>
      </c>
      <c r="F27" s="34">
        <f t="shared" si="12"/>
        <v>475.03353099072001</v>
      </c>
      <c r="G27" s="34">
        <f t="shared" si="12"/>
        <v>504.92501592831104</v>
      </c>
      <c r="H27" s="34">
        <f t="shared" si="12"/>
        <v>523.10231650173023</v>
      </c>
      <c r="I27" s="34">
        <f t="shared" si="12"/>
        <v>541.41089757929069</v>
      </c>
      <c r="J27" s="101"/>
      <c r="R27" s="336"/>
      <c r="S27" s="101"/>
      <c r="T27" s="101"/>
    </row>
    <row r="28" spans="2:20" ht="18.75" x14ac:dyDescent="0.3">
      <c r="B28" s="38" t="s">
        <v>17</v>
      </c>
      <c r="C28" s="39">
        <f>C12</f>
        <v>4.216998328311973E-2</v>
      </c>
      <c r="D28" s="40">
        <f t="shared" ref="D28:I28" si="13">D27/D5</f>
        <v>0.04</v>
      </c>
      <c r="E28" s="40">
        <f t="shared" si="13"/>
        <v>0.04</v>
      </c>
      <c r="F28" s="40">
        <f t="shared" si="13"/>
        <v>0.04</v>
      </c>
      <c r="G28" s="40">
        <f t="shared" si="13"/>
        <v>4.1000000000000002E-2</v>
      </c>
      <c r="H28" s="40">
        <f t="shared" si="13"/>
        <v>4.1000000000000002E-2</v>
      </c>
      <c r="I28" s="40">
        <f t="shared" si="13"/>
        <v>4.1000000000000002E-2</v>
      </c>
      <c r="J28" s="101"/>
      <c r="R28" s="101"/>
      <c r="S28" s="101"/>
      <c r="T28" s="101"/>
    </row>
    <row r="29" spans="2:20" ht="18.75" x14ac:dyDescent="0.3">
      <c r="B29" s="44"/>
      <c r="C29" s="28"/>
      <c r="D29" s="27"/>
      <c r="E29" s="27"/>
      <c r="F29" s="27"/>
      <c r="G29" s="27"/>
      <c r="H29" s="27"/>
      <c r="I29" s="27"/>
      <c r="J29" s="101"/>
      <c r="R29" s="101"/>
      <c r="S29" s="101"/>
      <c r="T29" s="101"/>
    </row>
    <row r="30" spans="2:20" ht="18.75" x14ac:dyDescent="0.3">
      <c r="B30" s="46" t="s">
        <v>18</v>
      </c>
      <c r="C30" s="60">
        <f>Historicals!I26</f>
        <v>-689.2</v>
      </c>
      <c r="D30" s="61">
        <f t="shared" ref="D30:I30" si="14">D5*D31</f>
        <v>-727.77962400000013</v>
      </c>
      <c r="E30" s="61">
        <f t="shared" si="14"/>
        <v>-767.60410667200006</v>
      </c>
      <c r="F30" s="61">
        <f t="shared" si="14"/>
        <v>-808.64890100030402</v>
      </c>
      <c r="G30" s="61">
        <f t="shared" si="14"/>
        <v>-850.88415462824969</v>
      </c>
      <c r="H30" s="61">
        <f t="shared" si="14"/>
        <v>-894.27457728027468</v>
      </c>
      <c r="I30" s="61">
        <f t="shared" si="14"/>
        <v>-938.77933132848159</v>
      </c>
      <c r="J30" s="101"/>
      <c r="R30" s="101"/>
      <c r="S30" s="101"/>
      <c r="T30" s="101"/>
    </row>
    <row r="31" spans="2:20" ht="18.75" x14ac:dyDescent="0.3">
      <c r="B31" s="38" t="s">
        <v>19</v>
      </c>
      <c r="C31" s="39">
        <f>C30/C5</f>
        <v>-6.5091942841491862E-2</v>
      </c>
      <c r="D31" s="40">
        <f>C31-0.001</f>
        <v>-6.6091942841491863E-2</v>
      </c>
      <c r="E31" s="40">
        <f t="shared" ref="E31:I31" si="15">D31-0.001</f>
        <v>-6.7091942841491864E-2</v>
      </c>
      <c r="F31" s="40">
        <f t="shared" si="15"/>
        <v>-6.8091942841491865E-2</v>
      </c>
      <c r="G31" s="40">
        <f t="shared" si="15"/>
        <v>-6.9091942841491866E-2</v>
      </c>
      <c r="H31" s="40">
        <f t="shared" si="15"/>
        <v>-7.0091942841491867E-2</v>
      </c>
      <c r="I31" s="40">
        <f t="shared" si="15"/>
        <v>-7.1091942841491867E-2</v>
      </c>
      <c r="J31" s="101"/>
      <c r="R31" s="101"/>
      <c r="S31" s="101"/>
      <c r="T31" s="101"/>
    </row>
    <row r="32" spans="2:20" ht="18.75" x14ac:dyDescent="0.3">
      <c r="B32" s="44"/>
      <c r="C32" s="28"/>
      <c r="D32" s="27"/>
      <c r="E32" s="27"/>
      <c r="F32" s="27"/>
      <c r="G32" s="27"/>
      <c r="H32" s="27"/>
      <c r="I32" s="27"/>
      <c r="J32" s="101"/>
      <c r="R32" s="101"/>
      <c r="S32" s="101"/>
      <c r="T32" s="101"/>
    </row>
    <row r="33" spans="2:20" ht="18.75" x14ac:dyDescent="0.3">
      <c r="B33" s="46" t="s">
        <v>201</v>
      </c>
      <c r="C33" s="60">
        <f>Historicals!I29</f>
        <v>-4.7</v>
      </c>
      <c r="D33" s="61">
        <f t="shared" ref="D33:I33" si="16">D34*D5</f>
        <v>-275.29060000000004</v>
      </c>
      <c r="E33" s="61">
        <f t="shared" si="16"/>
        <v>-286.02693340000002</v>
      </c>
      <c r="F33" s="61">
        <f t="shared" si="16"/>
        <v>-296.89595686920001</v>
      </c>
      <c r="G33" s="61">
        <f t="shared" si="16"/>
        <v>-307.88110727336039</v>
      </c>
      <c r="H33" s="61">
        <f t="shared" si="16"/>
        <v>-318.9648271352014</v>
      </c>
      <c r="I33" s="61">
        <f t="shared" si="16"/>
        <v>-330.12859608493341</v>
      </c>
      <c r="J33" s="101"/>
      <c r="R33" s="101"/>
      <c r="S33" s="101"/>
      <c r="T33" s="101"/>
    </row>
    <row r="34" spans="2:20" ht="18.75" x14ac:dyDescent="0.3">
      <c r="B34" s="38" t="s">
        <v>22</v>
      </c>
      <c r="C34" s="39">
        <f>C33/C5</f>
        <v>-4.4389456087494454E-4</v>
      </c>
      <c r="D34" s="40">
        <v>-2.5000000000000001E-2</v>
      </c>
      <c r="E34" s="40">
        <f>D34</f>
        <v>-2.5000000000000001E-2</v>
      </c>
      <c r="F34" s="40">
        <f>E34</f>
        <v>-2.5000000000000001E-2</v>
      </c>
      <c r="G34" s="40">
        <f t="shared" ref="G34:I34" si="17">F34</f>
        <v>-2.5000000000000001E-2</v>
      </c>
      <c r="H34" s="40">
        <f t="shared" si="17"/>
        <v>-2.5000000000000001E-2</v>
      </c>
      <c r="I34" s="40">
        <f t="shared" si="17"/>
        <v>-2.5000000000000001E-2</v>
      </c>
      <c r="J34" s="101"/>
      <c r="M34" s="101"/>
      <c r="N34" s="101"/>
      <c r="O34" s="101"/>
      <c r="P34" s="101"/>
      <c r="Q34" s="101"/>
      <c r="R34" s="101"/>
      <c r="S34" s="101"/>
      <c r="T34" s="101"/>
    </row>
    <row r="35" spans="2:20" ht="18.75" x14ac:dyDescent="0.3">
      <c r="B35" s="44"/>
      <c r="C35" s="28"/>
      <c r="D35" s="27"/>
      <c r="E35" s="27"/>
      <c r="F35" s="27"/>
      <c r="G35" s="27"/>
      <c r="H35" s="27"/>
      <c r="I35" s="27"/>
      <c r="J35" s="101"/>
      <c r="M35" s="101"/>
      <c r="N35" s="101"/>
      <c r="O35" s="101"/>
      <c r="P35" s="101"/>
      <c r="Q35" s="101"/>
      <c r="R35" s="101"/>
      <c r="S35" s="101"/>
      <c r="T35" s="101"/>
    </row>
    <row r="36" spans="2:20" ht="18.75" x14ac:dyDescent="0.3">
      <c r="B36" s="46" t="s">
        <v>67</v>
      </c>
      <c r="C36" s="63">
        <f t="shared" ref="C36:I36" si="18">C25+C27+C30+C33</f>
        <v>1496.7999999999997</v>
      </c>
      <c r="D36" s="64">
        <f t="shared" si="18"/>
        <v>1329.4670298000003</v>
      </c>
      <c r="E36" s="64">
        <f t="shared" si="18"/>
        <v>1375.0808568140806</v>
      </c>
      <c r="F36" s="64">
        <f t="shared" si="18"/>
        <v>1406.7887291576667</v>
      </c>
      <c r="G36" s="64">
        <f t="shared" si="18"/>
        <v>1440.8596554717358</v>
      </c>
      <c r="H36" s="64">
        <f t="shared" si="18"/>
        <v>1470.6582370309627</v>
      </c>
      <c r="I36" s="64">
        <f t="shared" si="18"/>
        <v>1499.2863764779684</v>
      </c>
      <c r="J36" s="101"/>
      <c r="M36" s="101"/>
      <c r="N36" s="101"/>
      <c r="O36" s="101"/>
      <c r="P36" s="101"/>
      <c r="Q36" s="101"/>
      <c r="R36" s="101"/>
      <c r="S36" s="101"/>
      <c r="T36" s="101"/>
    </row>
    <row r="37" spans="2:20" ht="18.75" x14ac:dyDescent="0.3">
      <c r="B37" s="27"/>
      <c r="C37" s="27"/>
      <c r="D37" s="27"/>
      <c r="E37" s="27"/>
      <c r="F37" s="27"/>
      <c r="G37" s="27"/>
      <c r="H37" s="27"/>
      <c r="I37" s="27"/>
      <c r="J37" s="101"/>
      <c r="M37" s="101"/>
      <c r="N37" s="101"/>
      <c r="O37" s="101"/>
      <c r="P37" s="101"/>
      <c r="Q37" s="101"/>
      <c r="R37" s="101"/>
      <c r="S37" s="101"/>
      <c r="T37" s="101"/>
    </row>
    <row r="38" spans="2:20" ht="18.75" x14ac:dyDescent="0.3">
      <c r="B38" s="122" t="s">
        <v>68</v>
      </c>
      <c r="C38" s="125">
        <v>2024</v>
      </c>
      <c r="D38" s="124">
        <v>2025</v>
      </c>
      <c r="E38" s="124">
        <v>2026</v>
      </c>
      <c r="F38" s="124">
        <v>2027</v>
      </c>
      <c r="G38" s="124">
        <v>2028</v>
      </c>
      <c r="H38" s="124">
        <v>2029</v>
      </c>
      <c r="I38" s="124">
        <v>2030</v>
      </c>
      <c r="J38" s="101"/>
      <c r="M38" s="101"/>
      <c r="N38" s="101"/>
      <c r="O38" s="101"/>
      <c r="P38" s="101"/>
      <c r="Q38" s="101"/>
      <c r="R38" s="101"/>
      <c r="S38" s="101"/>
      <c r="T38" s="101"/>
    </row>
    <row r="39" spans="2:20" ht="18.75" x14ac:dyDescent="0.3">
      <c r="B39" s="27"/>
      <c r="C39" s="28"/>
      <c r="D39" s="27"/>
      <c r="E39" s="27"/>
      <c r="F39" s="27"/>
      <c r="G39" s="27"/>
      <c r="H39" s="27"/>
      <c r="I39" s="27"/>
      <c r="J39" s="101"/>
      <c r="M39" s="101"/>
      <c r="N39" s="101"/>
      <c r="O39" s="101"/>
      <c r="P39" s="101"/>
      <c r="Q39" s="101"/>
      <c r="R39" s="101"/>
      <c r="S39" s="101"/>
      <c r="T39" s="101"/>
    </row>
    <row r="40" spans="2:20" ht="18.75" x14ac:dyDescent="0.3">
      <c r="B40" s="32" t="s">
        <v>69</v>
      </c>
      <c r="C40" s="65"/>
      <c r="D40" s="66">
        <v>0.5</v>
      </c>
      <c r="E40" s="66">
        <v>1.5</v>
      </c>
      <c r="F40" s="66">
        <v>2.5</v>
      </c>
      <c r="G40" s="66">
        <v>3.5</v>
      </c>
      <c r="H40" s="66">
        <v>4.5</v>
      </c>
      <c r="I40" s="66">
        <v>5.5</v>
      </c>
      <c r="J40" s="101"/>
      <c r="M40" s="101"/>
      <c r="N40" s="101"/>
      <c r="O40" s="101"/>
      <c r="P40" s="101"/>
      <c r="Q40" s="101"/>
      <c r="R40" s="101"/>
      <c r="S40" s="101"/>
      <c r="T40" s="101"/>
    </row>
    <row r="41" spans="2:20" ht="18.75" x14ac:dyDescent="0.3">
      <c r="B41" s="27"/>
      <c r="C41" s="28"/>
      <c r="D41" s="27"/>
      <c r="E41" s="27"/>
      <c r="F41" s="27"/>
      <c r="G41" s="27"/>
      <c r="H41" s="27"/>
      <c r="I41" s="27"/>
      <c r="J41" s="101"/>
      <c r="M41" s="101"/>
      <c r="N41" s="101"/>
      <c r="O41" s="101"/>
      <c r="P41" s="101"/>
      <c r="Q41" s="101"/>
      <c r="R41" s="101"/>
      <c r="S41" s="101"/>
      <c r="T41" s="101"/>
    </row>
    <row r="42" spans="2:20" ht="18.75" x14ac:dyDescent="0.3">
      <c r="B42" s="32" t="s">
        <v>41</v>
      </c>
      <c r="C42" s="67">
        <v>9.1999999999999998E-2</v>
      </c>
      <c r="D42" s="68">
        <f>C42</f>
        <v>9.1999999999999998E-2</v>
      </c>
      <c r="E42" s="68">
        <f t="shared" ref="E42:I42" si="19">D42</f>
        <v>9.1999999999999998E-2</v>
      </c>
      <c r="F42" s="68">
        <f t="shared" si="19"/>
        <v>9.1999999999999998E-2</v>
      </c>
      <c r="G42" s="68">
        <f t="shared" si="19"/>
        <v>9.1999999999999998E-2</v>
      </c>
      <c r="H42" s="68">
        <f t="shared" si="19"/>
        <v>9.1999999999999998E-2</v>
      </c>
      <c r="I42" s="68">
        <f t="shared" si="19"/>
        <v>9.1999999999999998E-2</v>
      </c>
      <c r="J42" s="101"/>
      <c r="M42" s="101"/>
      <c r="N42" s="101"/>
      <c r="O42" s="101"/>
      <c r="P42" s="101"/>
      <c r="Q42" s="101"/>
      <c r="R42" s="101"/>
      <c r="S42" s="101"/>
      <c r="T42" s="101"/>
    </row>
    <row r="43" spans="2:20" ht="18.75" x14ac:dyDescent="0.3">
      <c r="B43" s="27"/>
      <c r="C43" s="28"/>
      <c r="D43" s="27"/>
      <c r="E43" s="27"/>
      <c r="F43" s="27"/>
      <c r="G43" s="27"/>
      <c r="H43" s="27"/>
      <c r="I43" s="27"/>
      <c r="J43" s="101"/>
      <c r="M43" s="101"/>
      <c r="N43" s="101"/>
      <c r="O43" s="101"/>
      <c r="P43" s="101"/>
      <c r="Q43" s="101"/>
      <c r="R43" s="101"/>
      <c r="S43" s="101"/>
      <c r="T43" s="101"/>
    </row>
    <row r="44" spans="2:20" ht="18.75" x14ac:dyDescent="0.3">
      <c r="B44" s="32" t="s">
        <v>70</v>
      </c>
      <c r="C44" s="69">
        <f>(1/((1+$J$38)^C40))</f>
        <v>1</v>
      </c>
      <c r="D44" s="70">
        <f t="shared" ref="D44:I44" si="20">(1/((1+$C$42)^D40))</f>
        <v>0.95694875293869086</v>
      </c>
      <c r="E44" s="70">
        <f t="shared" si="20"/>
        <v>0.87632669683030306</v>
      </c>
      <c r="F44" s="70">
        <f t="shared" si="20"/>
        <v>0.80249697511932505</v>
      </c>
      <c r="G44" s="70">
        <f t="shared" si="20"/>
        <v>0.73488733985286159</v>
      </c>
      <c r="H44" s="70">
        <f t="shared" si="20"/>
        <v>0.67297375444401242</v>
      </c>
      <c r="I44" s="70">
        <f t="shared" si="20"/>
        <v>0.61627633190843634</v>
      </c>
    </row>
    <row r="45" spans="2:20" ht="18.75" x14ac:dyDescent="0.3">
      <c r="B45" s="27"/>
      <c r="C45" s="28"/>
      <c r="D45" s="27"/>
      <c r="E45" s="27"/>
      <c r="F45" s="27"/>
      <c r="G45" s="27"/>
      <c r="H45" s="27"/>
      <c r="I45" s="27"/>
    </row>
    <row r="46" spans="2:20" ht="18.75" x14ac:dyDescent="0.3">
      <c r="B46" s="32" t="s">
        <v>71</v>
      </c>
      <c r="C46" s="71">
        <f t="shared" ref="C46:I46" si="21">C36*C44</f>
        <v>1496.7999999999997</v>
      </c>
      <c r="D46" s="72">
        <f t="shared" si="21"/>
        <v>1272.2318162402157</v>
      </c>
      <c r="E46" s="72">
        <f t="shared" si="21"/>
        <v>1205.0200651264661</v>
      </c>
      <c r="F46" s="72">
        <f t="shared" si="21"/>
        <v>1128.9436997809869</v>
      </c>
      <c r="G46" s="72">
        <f t="shared" si="21"/>
        <v>1058.8695193109345</v>
      </c>
      <c r="H46" s="72">
        <f t="shared" si="21"/>
        <v>989.71439527873929</v>
      </c>
      <c r="I46" s="72">
        <f t="shared" si="21"/>
        <v>923.97470857613325</v>
      </c>
    </row>
    <row r="52" spans="2:8" ht="15.75" thickBot="1" x14ac:dyDescent="0.3"/>
    <row r="53" spans="2:8" ht="19.5" thickBot="1" x14ac:dyDescent="0.35">
      <c r="B53" s="441" t="s">
        <v>65</v>
      </c>
      <c r="C53" s="442"/>
      <c r="D53" s="443" t="s">
        <v>75</v>
      </c>
      <c r="E53" s="443"/>
      <c r="F53" s="443"/>
      <c r="G53" s="443"/>
      <c r="H53" s="444"/>
    </row>
    <row r="54" spans="2:8" ht="18.75" x14ac:dyDescent="0.3">
      <c r="B54" s="107"/>
      <c r="C54" s="108">
        <f>L24</f>
        <v>209.77289843280505</v>
      </c>
      <c r="D54" s="73">
        <f>E54-1</f>
        <v>15.55</v>
      </c>
      <c r="E54" s="73">
        <f>F54-1</f>
        <v>16.55</v>
      </c>
      <c r="F54" s="73">
        <v>17.55</v>
      </c>
      <c r="G54" s="73">
        <f>F54+1</f>
        <v>18.55</v>
      </c>
      <c r="H54" s="109">
        <f>G54+1</f>
        <v>19.55</v>
      </c>
    </row>
    <row r="55" spans="2:8" ht="18.75" x14ac:dyDescent="0.3">
      <c r="B55" s="437" t="s">
        <v>41</v>
      </c>
      <c r="C55" s="110">
        <v>9.8000000000000004E-2</v>
      </c>
      <c r="D55" s="111">
        <f t="dataTable" ref="D55:H59" dt2D="1" dtr="1" r1="L6" r2="C42"/>
        <v>1124.9230239141032</v>
      </c>
      <c r="E55" s="112">
        <v>1192.8008195796715</v>
      </c>
      <c r="F55" s="112">
        <v>1260.6786152452405</v>
      </c>
      <c r="G55" s="112">
        <v>1328.5564109108088</v>
      </c>
      <c r="H55" s="113">
        <v>1396.4342065763776</v>
      </c>
    </row>
    <row r="56" spans="2:8" ht="18.75" x14ac:dyDescent="0.3">
      <c r="B56" s="437"/>
      <c r="C56" s="110">
        <v>0.10299999999999999</v>
      </c>
      <c r="D56" s="114">
        <v>1100.545916996291</v>
      </c>
      <c r="E56" s="115">
        <v>1166.8991164140646</v>
      </c>
      <c r="F56" s="115">
        <v>1233.2523158318384</v>
      </c>
      <c r="G56" s="115">
        <v>1299.6055152496119</v>
      </c>
      <c r="H56" s="116">
        <v>1365.9587146673857</v>
      </c>
    </row>
    <row r="57" spans="2:8" ht="18.75" x14ac:dyDescent="0.3">
      <c r="B57" s="437"/>
      <c r="C57" s="110">
        <v>0.108</v>
      </c>
      <c r="D57" s="114">
        <v>1076.8194042918358</v>
      </c>
      <c r="E57" s="115">
        <v>1141.6889159805414</v>
      </c>
      <c r="F57" s="117">
        <v>1206.5584276692477</v>
      </c>
      <c r="G57" s="115">
        <v>1271.4279393579534</v>
      </c>
      <c r="H57" s="116">
        <v>1336.2974510466597</v>
      </c>
    </row>
    <row r="58" spans="2:8" ht="18.75" x14ac:dyDescent="0.3">
      <c r="B58" s="437"/>
      <c r="C58" s="110">
        <v>0.113</v>
      </c>
      <c r="D58" s="114">
        <v>1053.7232578434139</v>
      </c>
      <c r="E58" s="115">
        <v>1117.1487154141469</v>
      </c>
      <c r="F58" s="115">
        <v>1180.5741729848799</v>
      </c>
      <c r="G58" s="115">
        <v>1243.9996305556128</v>
      </c>
      <c r="H58" s="116">
        <v>1307.4250881263461</v>
      </c>
    </row>
    <row r="59" spans="2:8" ht="19.5" thickBot="1" x14ac:dyDescent="0.35">
      <c r="B59" s="438"/>
      <c r="C59" s="118">
        <v>0.11799999999999999</v>
      </c>
      <c r="D59" s="119">
        <v>1031.2379660754257</v>
      </c>
      <c r="E59" s="120">
        <v>1093.2577734384249</v>
      </c>
      <c r="F59" s="120">
        <v>1155.2775808014248</v>
      </c>
      <c r="G59" s="120">
        <v>1217.2973881644243</v>
      </c>
      <c r="H59" s="121">
        <v>1279.317195527424</v>
      </c>
    </row>
  </sheetData>
  <mergeCells count="6">
    <mergeCell ref="B55:B59"/>
    <mergeCell ref="B1:V1"/>
    <mergeCell ref="K3:L3"/>
    <mergeCell ref="R14:S14"/>
    <mergeCell ref="B53:C53"/>
    <mergeCell ref="D53:H53"/>
  </mergeCells>
  <conditionalFormatting sqref="D55:H5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98B3-F38B-439A-9776-6CDEBA0E3D0C}">
  <sheetPr>
    <tabColor rgb="FFFF0000"/>
  </sheetPr>
  <dimension ref="B1:V44"/>
  <sheetViews>
    <sheetView zoomScaleNormal="100" workbookViewId="0">
      <selection activeCell="B31" sqref="B31"/>
    </sheetView>
  </sheetViews>
  <sheetFormatPr defaultColWidth="9.140625" defaultRowHeight="15" x14ac:dyDescent="0.25"/>
  <cols>
    <col min="1" max="1" width="9.140625" style="25"/>
    <col min="2" max="2" width="48.28515625" style="25" customWidth="1"/>
    <col min="3" max="10" width="16.7109375" style="25" customWidth="1"/>
    <col min="11" max="11" width="34" style="25" customWidth="1"/>
    <col min="12" max="17" width="16.7109375" style="25" customWidth="1"/>
    <col min="18" max="18" width="44" style="25" customWidth="1"/>
    <col min="19" max="19" width="14.7109375" style="25" customWidth="1"/>
    <col min="20" max="22" width="16.7109375" style="25" customWidth="1"/>
    <col min="23" max="16384" width="9.140625" style="25"/>
  </cols>
  <sheetData>
    <row r="1" spans="2:22" ht="45.75" x14ac:dyDescent="0.65">
      <c r="B1" s="445" t="s">
        <v>36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</row>
    <row r="3" spans="2:22" ht="18.75" x14ac:dyDescent="0.3">
      <c r="B3" s="97" t="s">
        <v>37</v>
      </c>
      <c r="C3" s="98">
        <v>2025</v>
      </c>
      <c r="D3" s="99">
        <v>2026</v>
      </c>
      <c r="E3" s="99">
        <v>2026</v>
      </c>
      <c r="F3" s="99">
        <v>2026</v>
      </c>
      <c r="G3" s="99">
        <v>2026</v>
      </c>
      <c r="H3" s="99">
        <v>2026</v>
      </c>
      <c r="I3" s="99">
        <v>2026</v>
      </c>
      <c r="J3" s="26"/>
      <c r="K3" s="439" t="s">
        <v>38</v>
      </c>
      <c r="L3" s="439"/>
      <c r="M3" s="26"/>
      <c r="P3" s="26"/>
      <c r="Q3" s="26"/>
      <c r="R3" s="129" t="s">
        <v>39</v>
      </c>
      <c r="S3" s="100"/>
    </row>
    <row r="4" spans="2:22" ht="18.75" x14ac:dyDescent="0.3">
      <c r="B4" s="27"/>
      <c r="C4" s="28" t="s">
        <v>40</v>
      </c>
      <c r="D4" s="27"/>
      <c r="E4" s="27"/>
      <c r="F4" s="27"/>
      <c r="G4" s="27"/>
      <c r="H4" s="27"/>
      <c r="I4" s="27"/>
      <c r="J4" s="26"/>
      <c r="K4" s="26" t="s">
        <v>41</v>
      </c>
      <c r="L4" s="75">
        <f>C39</f>
        <v>9.8000000000000004E-2</v>
      </c>
      <c r="M4" s="26"/>
      <c r="P4" s="26"/>
      <c r="Q4" s="26"/>
      <c r="R4" s="30" t="s">
        <v>42</v>
      </c>
      <c r="S4" s="31">
        <v>2.47E-2</v>
      </c>
    </row>
    <row r="5" spans="2:22" ht="18.75" x14ac:dyDescent="0.3">
      <c r="B5" s="32" t="s">
        <v>1</v>
      </c>
      <c r="C5" s="33">
        <f>Historicals!I6</f>
        <v>10588.1</v>
      </c>
      <c r="D5" s="34">
        <f>C5*(1+D6)</f>
        <v>11223.386</v>
      </c>
      <c r="E5" s="34">
        <f t="shared" ref="E5:I5" si="0">D5*(1+E6)</f>
        <v>11784.555300000002</v>
      </c>
      <c r="F5" s="34">
        <f t="shared" si="0"/>
        <v>12138.091959000003</v>
      </c>
      <c r="G5" s="34">
        <f t="shared" si="0"/>
        <v>12502.234717770003</v>
      </c>
      <c r="H5" s="34">
        <f t="shared" si="0"/>
        <v>12752.279412125403</v>
      </c>
      <c r="I5" s="34">
        <f t="shared" si="0"/>
        <v>13007.325000367911</v>
      </c>
      <c r="J5" s="26"/>
      <c r="K5" s="26" t="s">
        <v>43</v>
      </c>
      <c r="L5" s="35">
        <f>I33</f>
        <v>2351.252891985499</v>
      </c>
      <c r="M5" s="26"/>
      <c r="P5" s="26"/>
      <c r="Q5" s="26"/>
      <c r="R5" s="36" t="s">
        <v>44</v>
      </c>
      <c r="S5" s="37">
        <v>2.3300000000000001E-2</v>
      </c>
    </row>
    <row r="6" spans="2:22" ht="18.75" x14ac:dyDescent="0.3">
      <c r="B6" s="38" t="s">
        <v>3</v>
      </c>
      <c r="C6" s="39">
        <f>Historicals!I7</f>
        <v>0.10071418918216524</v>
      </c>
      <c r="D6" s="40">
        <v>0.06</v>
      </c>
      <c r="E6" s="40">
        <v>0.05</v>
      </c>
      <c r="F6" s="40">
        <v>0.03</v>
      </c>
      <c r="G6" s="40">
        <v>0.03</v>
      </c>
      <c r="H6" s="40">
        <v>0.02</v>
      </c>
      <c r="I6" s="40">
        <v>0.02</v>
      </c>
      <c r="J6" s="26"/>
      <c r="K6" s="26"/>
      <c r="L6" s="41"/>
      <c r="M6" s="26"/>
      <c r="P6" s="26"/>
      <c r="Q6" s="26"/>
      <c r="R6" s="42" t="s">
        <v>45</v>
      </c>
      <c r="S6" s="43">
        <v>0.99</v>
      </c>
    </row>
    <row r="7" spans="2:22" ht="18.75" x14ac:dyDescent="0.3">
      <c r="B7" s="44"/>
      <c r="C7" s="28"/>
      <c r="D7" s="27"/>
      <c r="E7" s="27"/>
      <c r="F7" s="27"/>
      <c r="G7" s="27"/>
      <c r="H7" s="27"/>
      <c r="I7" s="27"/>
      <c r="J7" s="26"/>
      <c r="K7" s="26" t="s">
        <v>46</v>
      </c>
      <c r="L7" s="45">
        <v>0.05</v>
      </c>
      <c r="M7" s="26"/>
      <c r="P7" s="26"/>
      <c r="Q7" s="26"/>
      <c r="R7" s="42" t="s">
        <v>47</v>
      </c>
      <c r="S7" s="37">
        <f>S4+S5</f>
        <v>4.8000000000000001E-2</v>
      </c>
    </row>
    <row r="8" spans="2:22" ht="18.75" x14ac:dyDescent="0.3">
      <c r="B8" s="46" t="s">
        <v>4</v>
      </c>
      <c r="C8" s="33">
        <f>Historicals!I9</f>
        <v>2952.2</v>
      </c>
      <c r="D8" s="34">
        <f t="shared" ref="D8:I8" si="1">D9*D5</f>
        <v>3367.0158000000001</v>
      </c>
      <c r="E8" s="34">
        <f>E9*E5</f>
        <v>3535.3665900000005</v>
      </c>
      <c r="F8" s="34">
        <f t="shared" si="1"/>
        <v>3641.4275877000009</v>
      </c>
      <c r="G8" s="34">
        <f t="shared" si="1"/>
        <v>3750.6704153310006</v>
      </c>
      <c r="H8" s="34">
        <f t="shared" si="1"/>
        <v>3825.6838236376207</v>
      </c>
      <c r="I8" s="34">
        <f t="shared" si="1"/>
        <v>3902.1975001103733</v>
      </c>
      <c r="J8" s="26"/>
      <c r="K8" s="26" t="s">
        <v>48</v>
      </c>
      <c r="L8" s="47">
        <v>1</v>
      </c>
      <c r="M8" s="336"/>
      <c r="P8" s="26"/>
      <c r="Q8" s="26"/>
      <c r="R8" s="48" t="s">
        <v>49</v>
      </c>
      <c r="S8" s="49">
        <f>S7*S6</f>
        <v>4.752E-2</v>
      </c>
    </row>
    <row r="9" spans="2:22" ht="18.75" x14ac:dyDescent="0.3">
      <c r="B9" s="38" t="s">
        <v>6</v>
      </c>
      <c r="C9" s="39">
        <f>C8/C5</f>
        <v>0.27882245162021513</v>
      </c>
      <c r="D9" s="40">
        <v>0.3</v>
      </c>
      <c r="E9" s="40">
        <f t="shared" ref="E9:I9" si="2">D9</f>
        <v>0.3</v>
      </c>
      <c r="F9" s="40">
        <f t="shared" si="2"/>
        <v>0.3</v>
      </c>
      <c r="G9" s="40">
        <f t="shared" si="2"/>
        <v>0.3</v>
      </c>
      <c r="H9" s="40">
        <f t="shared" si="2"/>
        <v>0.3</v>
      </c>
      <c r="I9" s="40">
        <f t="shared" si="2"/>
        <v>0.3</v>
      </c>
      <c r="J9" s="26"/>
      <c r="K9" s="26" t="s">
        <v>50</v>
      </c>
      <c r="L9" s="74">
        <f>S8</f>
        <v>4.752E-2</v>
      </c>
      <c r="M9" s="26"/>
      <c r="N9" s="26"/>
      <c r="O9" s="26"/>
      <c r="P9" s="26"/>
      <c r="Q9" s="26"/>
      <c r="R9" s="26"/>
    </row>
    <row r="10" spans="2:22" ht="18.75" x14ac:dyDescent="0.3">
      <c r="B10" s="44"/>
      <c r="C10" s="28"/>
      <c r="D10" s="27"/>
      <c r="E10" s="27"/>
      <c r="F10" s="27"/>
      <c r="G10" s="27"/>
      <c r="H10" s="27"/>
      <c r="I10" s="27"/>
      <c r="J10" s="26"/>
      <c r="K10" s="26" t="s">
        <v>51</v>
      </c>
      <c r="L10" s="35">
        <f>(((L5*(1+L9))+(L5*(L8/2)*(L7-L9)))/(C39-L9))</f>
        <v>48849.048791575115</v>
      </c>
      <c r="M10" s="26"/>
      <c r="N10" s="26"/>
      <c r="O10" s="26"/>
      <c r="P10" s="26"/>
      <c r="Q10" s="26"/>
      <c r="R10" s="26"/>
    </row>
    <row r="11" spans="2:22" ht="18.75" x14ac:dyDescent="0.3">
      <c r="B11" s="46" t="s">
        <v>7</v>
      </c>
      <c r="C11" s="33">
        <f>Historicals!I12</f>
        <v>446.5</v>
      </c>
      <c r="D11" s="34">
        <f>D12*D5</f>
        <v>473.29</v>
      </c>
      <c r="E11" s="34">
        <f t="shared" ref="E11:I11" si="3">E12*E5</f>
        <v>496.95450000000011</v>
      </c>
      <c r="F11" s="34">
        <f t="shared" si="3"/>
        <v>511.86313500000017</v>
      </c>
      <c r="G11" s="34">
        <f t="shared" si="3"/>
        <v>527.21902905000013</v>
      </c>
      <c r="H11" s="34">
        <f t="shared" si="3"/>
        <v>537.76340963100017</v>
      </c>
      <c r="I11" s="34">
        <f t="shared" si="3"/>
        <v>548.51867782362012</v>
      </c>
      <c r="J11" s="26"/>
      <c r="K11" s="26" t="s">
        <v>52</v>
      </c>
      <c r="L11" s="50">
        <f>1/((1+I39)^(I3-D3))</f>
        <v>1</v>
      </c>
      <c r="M11" s="26"/>
      <c r="N11" s="26"/>
      <c r="O11" s="26"/>
      <c r="P11" s="26"/>
      <c r="Q11" s="26"/>
      <c r="R11" s="26"/>
    </row>
    <row r="12" spans="2:22" ht="18.75" x14ac:dyDescent="0.3">
      <c r="B12" s="38" t="s">
        <v>17</v>
      </c>
      <c r="C12" s="39">
        <f>C11/C5</f>
        <v>4.216998328311973E-2</v>
      </c>
      <c r="D12" s="40">
        <f>C12</f>
        <v>4.216998328311973E-2</v>
      </c>
      <c r="E12" s="40">
        <f t="shared" ref="E12:I12" si="4">D12</f>
        <v>4.216998328311973E-2</v>
      </c>
      <c r="F12" s="40">
        <f t="shared" si="4"/>
        <v>4.216998328311973E-2</v>
      </c>
      <c r="G12" s="40">
        <f t="shared" si="4"/>
        <v>4.216998328311973E-2</v>
      </c>
      <c r="H12" s="40">
        <f t="shared" si="4"/>
        <v>4.216998328311973E-2</v>
      </c>
      <c r="I12" s="40">
        <f t="shared" si="4"/>
        <v>4.216998328311973E-2</v>
      </c>
      <c r="J12" s="26"/>
      <c r="K12" s="26"/>
      <c r="L12" s="26"/>
      <c r="M12" s="26"/>
      <c r="N12" s="26"/>
      <c r="O12" s="26"/>
      <c r="P12" s="26"/>
      <c r="Q12" s="26"/>
      <c r="R12" s="26"/>
    </row>
    <row r="13" spans="2:22" ht="18.75" x14ac:dyDescent="0.3">
      <c r="B13" s="44"/>
      <c r="C13" s="28"/>
      <c r="D13" s="27"/>
      <c r="E13" s="27"/>
      <c r="F13" s="27"/>
      <c r="G13" s="27"/>
      <c r="H13" s="27"/>
      <c r="I13" s="27"/>
      <c r="J13" s="26"/>
      <c r="K13" s="126" t="s">
        <v>53</v>
      </c>
      <c r="L13" s="127"/>
      <c r="M13" s="26"/>
      <c r="N13" s="26"/>
      <c r="O13" s="26"/>
      <c r="P13" s="26"/>
      <c r="Q13" s="26"/>
      <c r="R13" s="26"/>
    </row>
    <row r="14" spans="2:22" ht="18.75" x14ac:dyDescent="0.3">
      <c r="B14" s="46" t="s">
        <v>9</v>
      </c>
      <c r="C14" s="33">
        <f>C8-C11</f>
        <v>2505.6999999999998</v>
      </c>
      <c r="D14" s="51">
        <f t="shared" ref="D14:I14" si="5">D8-D11</f>
        <v>2893.7258000000002</v>
      </c>
      <c r="E14" s="51">
        <f t="shared" si="5"/>
        <v>3038.4120900000003</v>
      </c>
      <c r="F14" s="51">
        <f t="shared" si="5"/>
        <v>3129.5644527000009</v>
      </c>
      <c r="G14" s="51">
        <f t="shared" si="5"/>
        <v>3223.4513862810004</v>
      </c>
      <c r="H14" s="51">
        <f t="shared" si="5"/>
        <v>3287.9204140066204</v>
      </c>
      <c r="I14" s="51">
        <f t="shared" si="5"/>
        <v>3353.6788222867531</v>
      </c>
      <c r="J14" s="26"/>
      <c r="K14" s="26" t="s">
        <v>54</v>
      </c>
      <c r="L14" s="52">
        <f>SUM(G43:J43)</f>
        <v>5225.3872815847672</v>
      </c>
      <c r="M14" s="26"/>
      <c r="N14" s="26"/>
      <c r="O14" s="26"/>
      <c r="P14" s="26"/>
      <c r="Q14" s="26"/>
      <c r="R14" s="26"/>
    </row>
    <row r="15" spans="2:22" ht="18.75" x14ac:dyDescent="0.3">
      <c r="B15" s="38" t="s">
        <v>10</v>
      </c>
      <c r="C15" s="39">
        <f>C14/C5</f>
        <v>0.23665246833709538</v>
      </c>
      <c r="D15" s="40">
        <f>D14/D5</f>
        <v>0.25783001671688027</v>
      </c>
      <c r="E15" s="40">
        <f t="shared" ref="E15:I15" si="6">E14/E5</f>
        <v>0.25783001671688027</v>
      </c>
      <c r="F15" s="40">
        <f t="shared" si="6"/>
        <v>0.25783001671688027</v>
      </c>
      <c r="G15" s="40">
        <f t="shared" si="6"/>
        <v>0.25783001671688022</v>
      </c>
      <c r="H15" s="40">
        <f t="shared" si="6"/>
        <v>0.25783001671688022</v>
      </c>
      <c r="I15" s="40">
        <f t="shared" si="6"/>
        <v>0.25783001671688027</v>
      </c>
      <c r="J15" s="26"/>
      <c r="K15" s="26" t="s">
        <v>55</v>
      </c>
      <c r="L15" s="53">
        <f>L10*L11</f>
        <v>48849.048791575115</v>
      </c>
      <c r="M15" s="26"/>
      <c r="N15" s="26"/>
      <c r="O15" s="26"/>
      <c r="P15" s="26"/>
      <c r="Q15" s="26"/>
      <c r="R15" s="26"/>
    </row>
    <row r="16" spans="2:22" ht="18.75" x14ac:dyDescent="0.3">
      <c r="B16" s="44"/>
      <c r="C16" s="28"/>
      <c r="D16" s="27"/>
      <c r="E16" s="27"/>
      <c r="F16" s="27"/>
      <c r="G16" s="27"/>
      <c r="H16" s="27"/>
      <c r="I16" s="27"/>
      <c r="J16" s="26"/>
      <c r="K16" s="54" t="s">
        <v>56</v>
      </c>
      <c r="L16" s="55">
        <f>L15/L18</f>
        <v>0.9033667725260216</v>
      </c>
      <c r="M16" s="336"/>
      <c r="N16" s="26"/>
      <c r="O16" s="26"/>
      <c r="P16" s="26"/>
      <c r="Q16" s="26"/>
      <c r="R16" s="26"/>
    </row>
    <row r="17" spans="2:18" ht="18.75" x14ac:dyDescent="0.3">
      <c r="B17" s="46" t="s">
        <v>11</v>
      </c>
      <c r="C17" s="33">
        <f>Historicals!I18</f>
        <v>761.5</v>
      </c>
      <c r="D17" s="51">
        <f t="shared" ref="D17:I17" si="7">D14*D18</f>
        <v>607.68241799999998</v>
      </c>
      <c r="E17" s="51">
        <f t="shared" si="7"/>
        <v>638.06653890000007</v>
      </c>
      <c r="F17" s="51">
        <f t="shared" si="7"/>
        <v>657.20853506700018</v>
      </c>
      <c r="G17" s="51">
        <f t="shared" si="7"/>
        <v>676.92479111901002</v>
      </c>
      <c r="H17" s="51">
        <f t="shared" si="7"/>
        <v>690.46328694139027</v>
      </c>
      <c r="I17" s="51">
        <f t="shared" si="7"/>
        <v>704.27255268021815</v>
      </c>
      <c r="J17" s="26"/>
      <c r="K17" s="26"/>
      <c r="L17" s="53"/>
      <c r="M17" s="26"/>
      <c r="N17" s="26"/>
      <c r="O17" s="26"/>
      <c r="P17" s="26"/>
      <c r="Q17" s="26"/>
      <c r="R17" s="26"/>
    </row>
    <row r="18" spans="2:18" ht="18.75" x14ac:dyDescent="0.3">
      <c r="B18" s="38" t="s">
        <v>13</v>
      </c>
      <c r="C18" s="56">
        <f>C17/C5</f>
        <v>7.1920363426866002E-2</v>
      </c>
      <c r="D18" s="40">
        <v>0.21</v>
      </c>
      <c r="E18" s="40">
        <v>0.21</v>
      </c>
      <c r="F18" s="40">
        <v>0.21</v>
      </c>
      <c r="G18" s="40">
        <v>0.21</v>
      </c>
      <c r="H18" s="40">
        <v>0.21</v>
      </c>
      <c r="I18" s="40">
        <v>0.21</v>
      </c>
      <c r="J18" s="26"/>
      <c r="K18" s="26" t="s">
        <v>53</v>
      </c>
      <c r="L18" s="53">
        <f>L14+L15</f>
        <v>54074.436073159879</v>
      </c>
      <c r="M18" s="26"/>
      <c r="N18" s="26"/>
      <c r="O18" s="26"/>
      <c r="P18" s="26"/>
      <c r="Q18" s="26"/>
      <c r="R18" s="26"/>
    </row>
    <row r="19" spans="2:18" ht="18.75" x14ac:dyDescent="0.3">
      <c r="B19" s="38"/>
      <c r="C19" s="40"/>
      <c r="D19" s="40"/>
      <c r="E19" s="40"/>
      <c r="F19" s="40"/>
      <c r="G19" s="40"/>
      <c r="H19" s="40"/>
      <c r="I19" s="40"/>
      <c r="J19" s="26"/>
      <c r="K19" s="26"/>
      <c r="L19" s="57"/>
      <c r="M19" s="26"/>
      <c r="N19" s="26"/>
      <c r="O19" s="26"/>
      <c r="P19" s="26"/>
      <c r="Q19" s="26"/>
      <c r="R19" s="26"/>
    </row>
    <row r="20" spans="2:18" ht="18.75" x14ac:dyDescent="0.3">
      <c r="B20" s="122" t="s">
        <v>57</v>
      </c>
      <c r="C20" s="125">
        <v>2024</v>
      </c>
      <c r="D20" s="124">
        <v>2025</v>
      </c>
      <c r="E20" s="124">
        <v>2026</v>
      </c>
      <c r="F20" s="124">
        <v>2027</v>
      </c>
      <c r="G20" s="124">
        <v>2028</v>
      </c>
      <c r="H20" s="124">
        <v>2029</v>
      </c>
      <c r="I20" s="124">
        <v>2030</v>
      </c>
      <c r="J20" s="26"/>
      <c r="K20" s="126" t="s">
        <v>58</v>
      </c>
      <c r="L20" s="128"/>
      <c r="M20" s="26"/>
      <c r="N20" s="26"/>
      <c r="O20" s="26"/>
      <c r="P20" s="26"/>
      <c r="Q20" s="26"/>
      <c r="R20" s="26"/>
    </row>
    <row r="21" spans="2:18" ht="18.75" x14ac:dyDescent="0.3">
      <c r="B21" s="27"/>
      <c r="C21" s="28"/>
      <c r="D21" s="27"/>
      <c r="E21" s="27"/>
      <c r="F21" s="27"/>
      <c r="G21" s="27"/>
      <c r="H21" s="27"/>
      <c r="I21" s="27"/>
      <c r="J21" s="26"/>
      <c r="K21" s="26" t="s">
        <v>53</v>
      </c>
      <c r="L21" s="53">
        <f>L18</f>
        <v>54074.436073159879</v>
      </c>
      <c r="M21" s="26"/>
      <c r="N21" s="26"/>
      <c r="O21" s="26"/>
      <c r="P21" s="26"/>
      <c r="Q21" s="26"/>
      <c r="R21" s="26"/>
    </row>
    <row r="22" spans="2:18" ht="18.75" x14ac:dyDescent="0.3">
      <c r="B22" s="46" t="s">
        <v>15</v>
      </c>
      <c r="C22" s="33">
        <f>C14-C17</f>
        <v>1744.1999999999998</v>
      </c>
      <c r="D22" s="34">
        <f>D14-D17</f>
        <v>2286.0433820000003</v>
      </c>
      <c r="E22" s="34">
        <f t="shared" ref="E22:I22" si="8">E14-E17</f>
        <v>2400.3455511000002</v>
      </c>
      <c r="F22" s="34">
        <f t="shared" si="8"/>
        <v>2472.3559176330009</v>
      </c>
      <c r="G22" s="34">
        <f t="shared" si="8"/>
        <v>2546.5265951619904</v>
      </c>
      <c r="H22" s="34">
        <f t="shared" si="8"/>
        <v>2597.45712706523</v>
      </c>
      <c r="I22" s="34">
        <f t="shared" si="8"/>
        <v>2649.4062696065348</v>
      </c>
      <c r="J22" s="26"/>
      <c r="K22" s="26" t="s">
        <v>59</v>
      </c>
      <c r="L22" s="58">
        <f>-(1839.6+1439.6)</f>
        <v>-3279.2</v>
      </c>
      <c r="M22" s="26"/>
      <c r="N22" s="26"/>
      <c r="O22" s="26"/>
      <c r="P22" s="26"/>
      <c r="Q22" s="26"/>
      <c r="R22" s="26"/>
    </row>
    <row r="23" spans="2:18" ht="18.75" x14ac:dyDescent="0.3">
      <c r="B23" s="44"/>
      <c r="C23" s="28"/>
      <c r="D23" s="27"/>
      <c r="E23" s="27"/>
      <c r="F23" s="27"/>
      <c r="G23" s="27"/>
      <c r="H23" s="27"/>
      <c r="I23" s="27"/>
      <c r="J23" s="26"/>
      <c r="K23" s="26" t="s">
        <v>60</v>
      </c>
      <c r="L23" s="58">
        <v>0</v>
      </c>
      <c r="M23" s="26"/>
      <c r="N23" s="26"/>
      <c r="O23" s="26"/>
      <c r="P23" s="26"/>
      <c r="Q23" s="26"/>
      <c r="R23" s="26"/>
    </row>
    <row r="24" spans="2:18" ht="18.75" x14ac:dyDescent="0.3">
      <c r="B24" s="46" t="s">
        <v>16</v>
      </c>
      <c r="C24" s="33">
        <f>C11</f>
        <v>446.5</v>
      </c>
      <c r="D24" s="34">
        <f t="shared" ref="D24:I24" si="9">D11</f>
        <v>473.29</v>
      </c>
      <c r="E24" s="34">
        <f t="shared" si="9"/>
        <v>496.95450000000011</v>
      </c>
      <c r="F24" s="34">
        <f t="shared" si="9"/>
        <v>511.86313500000017</v>
      </c>
      <c r="G24" s="34">
        <f t="shared" si="9"/>
        <v>527.21902905000013</v>
      </c>
      <c r="H24" s="34">
        <f t="shared" si="9"/>
        <v>537.76340963100017</v>
      </c>
      <c r="I24" s="34">
        <f t="shared" si="9"/>
        <v>548.51867782362012</v>
      </c>
      <c r="J24" s="26"/>
      <c r="K24" s="26" t="s">
        <v>61</v>
      </c>
      <c r="L24" s="53">
        <v>1984.3</v>
      </c>
      <c r="M24" s="26"/>
      <c r="N24" s="26"/>
      <c r="O24" s="26"/>
      <c r="P24" s="26"/>
      <c r="Q24" s="26"/>
      <c r="R24" s="26"/>
    </row>
    <row r="25" spans="2:18" ht="18.75" x14ac:dyDescent="0.3">
      <c r="B25" s="38" t="s">
        <v>17</v>
      </c>
      <c r="C25" s="39">
        <f>C12</f>
        <v>4.216998328311973E-2</v>
      </c>
      <c r="D25" s="40">
        <f t="shared" ref="D25:I25" si="10">D24/D5</f>
        <v>4.216998328311973E-2</v>
      </c>
      <c r="E25" s="40">
        <f t="shared" si="10"/>
        <v>4.216998328311973E-2</v>
      </c>
      <c r="F25" s="40">
        <f t="shared" si="10"/>
        <v>4.216998328311973E-2</v>
      </c>
      <c r="G25" s="40">
        <f t="shared" si="10"/>
        <v>4.216998328311973E-2</v>
      </c>
      <c r="H25" s="40">
        <f t="shared" si="10"/>
        <v>4.216998328311973E-2</v>
      </c>
      <c r="I25" s="40">
        <f t="shared" si="10"/>
        <v>4.216998328311973E-2</v>
      </c>
      <c r="J25" s="26"/>
      <c r="K25" s="26" t="s">
        <v>62</v>
      </c>
      <c r="L25" s="53">
        <f>SUM(L21:L24)</f>
        <v>52779.536073159885</v>
      </c>
      <c r="M25" s="26"/>
      <c r="N25" s="26"/>
      <c r="O25" s="26"/>
      <c r="P25" s="26"/>
      <c r="Q25" s="26"/>
      <c r="R25" s="26"/>
    </row>
    <row r="26" spans="2:18" ht="18.75" x14ac:dyDescent="0.3">
      <c r="B26" s="44"/>
      <c r="C26" s="28"/>
      <c r="D26" s="27"/>
      <c r="E26" s="27"/>
      <c r="F26" s="27"/>
      <c r="G26" s="27"/>
      <c r="H26" s="27"/>
      <c r="I26" s="27"/>
      <c r="J26" s="26"/>
      <c r="K26" s="26" t="s">
        <v>63</v>
      </c>
      <c r="L26" s="96">
        <v>121.9</v>
      </c>
      <c r="M26" s="26"/>
      <c r="N26" s="26"/>
      <c r="O26" s="26"/>
      <c r="P26" s="26"/>
      <c r="Q26" s="26"/>
      <c r="R26" s="26"/>
    </row>
    <row r="27" spans="2:18" ht="19.5" thickBot="1" x14ac:dyDescent="0.35">
      <c r="B27" s="46" t="s">
        <v>18</v>
      </c>
      <c r="C27" s="60">
        <f>Historicals!I26</f>
        <v>-689.2</v>
      </c>
      <c r="D27" s="61">
        <f>D5*D28</f>
        <v>-730.55200000000002</v>
      </c>
      <c r="E27" s="61">
        <f t="shared" ref="E27:I27" si="11">E5*E28</f>
        <v>-767.07960000000014</v>
      </c>
      <c r="F27" s="61">
        <f t="shared" si="11"/>
        <v>-790.09198800000013</v>
      </c>
      <c r="G27" s="61">
        <f t="shared" si="11"/>
        <v>-813.7947476400002</v>
      </c>
      <c r="H27" s="61">
        <f t="shared" si="11"/>
        <v>-830.07064259280014</v>
      </c>
      <c r="I27" s="61">
        <f t="shared" si="11"/>
        <v>-846.67205544465617</v>
      </c>
      <c r="J27" s="26"/>
      <c r="K27" s="126" t="s">
        <v>64</v>
      </c>
      <c r="L27" s="393">
        <f>L25/L26</f>
        <v>432.97404489876851</v>
      </c>
      <c r="M27" s="26"/>
      <c r="N27" s="26"/>
      <c r="O27" s="26"/>
      <c r="P27" s="26"/>
      <c r="Q27" s="26"/>
      <c r="R27" s="26"/>
    </row>
    <row r="28" spans="2:18" ht="19.5" thickTop="1" x14ac:dyDescent="0.3">
      <c r="B28" s="38" t="s">
        <v>19</v>
      </c>
      <c r="C28" s="39">
        <f>C27/C5</f>
        <v>-6.5091942841491862E-2</v>
      </c>
      <c r="D28" s="40">
        <f>C28</f>
        <v>-6.5091942841491862E-2</v>
      </c>
      <c r="E28" s="40">
        <f t="shared" ref="E28:I28" si="12">D28</f>
        <v>-6.5091942841491862E-2</v>
      </c>
      <c r="F28" s="40">
        <f t="shared" si="12"/>
        <v>-6.5091942841491862E-2</v>
      </c>
      <c r="G28" s="40">
        <f t="shared" si="12"/>
        <v>-6.5091942841491862E-2</v>
      </c>
      <c r="H28" s="40">
        <f t="shared" si="12"/>
        <v>-6.5091942841491862E-2</v>
      </c>
      <c r="I28" s="40">
        <f t="shared" si="12"/>
        <v>-6.5091942841491862E-2</v>
      </c>
      <c r="J28" s="26"/>
      <c r="K28" s="26"/>
      <c r="L28" s="29"/>
      <c r="M28" s="26"/>
      <c r="N28" s="26"/>
      <c r="O28" s="26"/>
      <c r="P28" s="26"/>
      <c r="Q28" s="26"/>
      <c r="R28" s="26"/>
    </row>
    <row r="29" spans="2:18" ht="18.75" x14ac:dyDescent="0.3">
      <c r="B29" s="44"/>
      <c r="C29" s="28"/>
      <c r="D29" s="27"/>
      <c r="E29" s="27"/>
      <c r="F29" s="27"/>
      <c r="G29" s="27"/>
      <c r="H29" s="27"/>
      <c r="I29" s="27"/>
      <c r="J29" s="26"/>
      <c r="K29" s="26"/>
      <c r="L29" s="35"/>
      <c r="M29" s="26"/>
      <c r="N29" s="26"/>
      <c r="O29" s="26"/>
      <c r="P29" s="26"/>
      <c r="Q29" s="26"/>
      <c r="R29" s="26"/>
    </row>
    <row r="30" spans="2:18" ht="19.5" thickBot="1" x14ac:dyDescent="0.35">
      <c r="B30" s="46" t="s">
        <v>201</v>
      </c>
      <c r="C30" s="60">
        <f>Historicals!H29</f>
        <v>202.7</v>
      </c>
      <c r="D30" s="61">
        <f t="shared" ref="D30:I30" si="13">D31*D5</f>
        <v>0</v>
      </c>
      <c r="E30" s="61">
        <f t="shared" si="13"/>
        <v>0</v>
      </c>
      <c r="F30" s="61">
        <f t="shared" si="13"/>
        <v>0</v>
      </c>
      <c r="G30" s="61">
        <f t="shared" si="13"/>
        <v>0</v>
      </c>
      <c r="H30" s="61">
        <f t="shared" si="13"/>
        <v>0</v>
      </c>
      <c r="I30" s="61">
        <f t="shared" si="13"/>
        <v>0</v>
      </c>
      <c r="J30" s="26"/>
      <c r="K30" s="26"/>
      <c r="L30" s="73"/>
      <c r="M30" s="26"/>
      <c r="N30" s="26"/>
      <c r="O30" s="26"/>
      <c r="P30" s="26"/>
      <c r="Q30" s="26"/>
      <c r="R30" s="26"/>
    </row>
    <row r="31" spans="2:18" ht="18.75" x14ac:dyDescent="0.3">
      <c r="B31" s="38" t="s">
        <v>22</v>
      </c>
      <c r="C31" s="39">
        <f>C30/C5</f>
        <v>1.9144133508372605E-2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26"/>
      <c r="K31" s="446" t="s">
        <v>65</v>
      </c>
      <c r="L31" s="447"/>
      <c r="M31" s="447" t="s">
        <v>66</v>
      </c>
      <c r="N31" s="447"/>
      <c r="O31" s="447"/>
      <c r="P31" s="447"/>
      <c r="Q31" s="448"/>
      <c r="R31" s="336"/>
    </row>
    <row r="32" spans="2:18" ht="18.75" x14ac:dyDescent="0.3">
      <c r="B32" s="44"/>
      <c r="C32" s="28"/>
      <c r="D32" s="27"/>
      <c r="E32" s="27"/>
      <c r="F32" s="27"/>
      <c r="G32" s="27"/>
      <c r="H32" s="27"/>
      <c r="I32" s="27"/>
      <c r="J32" s="26"/>
      <c r="K32" s="62"/>
      <c r="L32" s="76">
        <f>L27</f>
        <v>432.97404489876851</v>
      </c>
      <c r="M32" s="77">
        <v>4</v>
      </c>
      <c r="N32" s="77">
        <v>6</v>
      </c>
      <c r="O32" s="78">
        <v>8</v>
      </c>
      <c r="P32" s="77">
        <v>10</v>
      </c>
      <c r="Q32" s="79">
        <v>12</v>
      </c>
      <c r="R32" s="336"/>
    </row>
    <row r="33" spans="2:18" ht="18.75" x14ac:dyDescent="0.3">
      <c r="B33" s="46" t="s">
        <v>67</v>
      </c>
      <c r="C33" s="63">
        <f>C22+C24+C27+C30</f>
        <v>1704.1999999999998</v>
      </c>
      <c r="D33" s="64">
        <f>D22+D24+D27+D30</f>
        <v>2028.7813820000001</v>
      </c>
      <c r="E33" s="64">
        <f t="shared" ref="E33:I33" si="14">E22+E24+E27+E30</f>
        <v>2130.2204511000004</v>
      </c>
      <c r="F33" s="64">
        <f t="shared" si="14"/>
        <v>2194.1270646330008</v>
      </c>
      <c r="G33" s="64">
        <f t="shared" si="14"/>
        <v>2259.9508765719902</v>
      </c>
      <c r="H33" s="64">
        <f t="shared" si="14"/>
        <v>2305.1498941034301</v>
      </c>
      <c r="I33" s="64">
        <f t="shared" si="14"/>
        <v>2351.252891985499</v>
      </c>
      <c r="J33" s="26"/>
      <c r="K33" s="449" t="s">
        <v>41</v>
      </c>
      <c r="L33" s="80">
        <v>9.8000000000000004E-2</v>
      </c>
      <c r="M33" s="81">
        <f t="dataTable" ref="M33:Q37" dt2D="1" dtr="1" r1="L8" r2="C39"/>
        <v>434.39545445451267</v>
      </c>
      <c r="N33" s="82">
        <v>435.34306082500876</v>
      </c>
      <c r="O33" s="82">
        <v>436.2906671955048</v>
      </c>
      <c r="P33" s="82">
        <v>437.23827356600083</v>
      </c>
      <c r="Q33" s="83">
        <v>438.18587993649697</v>
      </c>
      <c r="R33" s="26"/>
    </row>
    <row r="34" spans="2:18" ht="18.75" x14ac:dyDescent="0.3">
      <c r="B34" s="27"/>
      <c r="C34" s="27"/>
      <c r="D34" s="27"/>
      <c r="E34" s="27"/>
      <c r="F34" s="27"/>
      <c r="G34" s="27"/>
      <c r="H34" s="27"/>
      <c r="I34" s="27"/>
      <c r="J34" s="26"/>
      <c r="K34" s="449"/>
      <c r="L34" s="80">
        <v>0.10299999999999999</v>
      </c>
      <c r="M34" s="84">
        <v>397.57397911687701</v>
      </c>
      <c r="N34" s="81">
        <v>398.43618476905158</v>
      </c>
      <c r="O34" s="82">
        <v>399.29839042122597</v>
      </c>
      <c r="P34" s="85">
        <v>400.16059607340054</v>
      </c>
      <c r="Q34" s="86">
        <v>401.02280172557499</v>
      </c>
      <c r="R34" s="26"/>
    </row>
    <row r="35" spans="2:18" ht="18.75" x14ac:dyDescent="0.3">
      <c r="B35" s="122" t="s">
        <v>68</v>
      </c>
      <c r="C35" s="125">
        <v>2024</v>
      </c>
      <c r="D35" s="124">
        <v>2025</v>
      </c>
      <c r="E35" s="124">
        <v>2026</v>
      </c>
      <c r="F35" s="124">
        <v>2027</v>
      </c>
      <c r="G35" s="124">
        <v>2028</v>
      </c>
      <c r="H35" s="124">
        <v>2029</v>
      </c>
      <c r="I35" s="124">
        <v>2030</v>
      </c>
      <c r="J35" s="26"/>
      <c r="K35" s="449"/>
      <c r="L35" s="80">
        <v>0.108</v>
      </c>
      <c r="M35" s="84">
        <v>366.75557094334238</v>
      </c>
      <c r="N35" s="84">
        <v>367.54649636633576</v>
      </c>
      <c r="O35" s="87">
        <v>368.33742178932914</v>
      </c>
      <c r="P35" s="88">
        <v>369.12834721232258</v>
      </c>
      <c r="Q35" s="86">
        <v>369.91927263531602</v>
      </c>
      <c r="R35" s="26"/>
    </row>
    <row r="36" spans="2:18" ht="18.75" x14ac:dyDescent="0.3">
      <c r="B36" s="27"/>
      <c r="C36" s="28"/>
      <c r="D36" s="27"/>
      <c r="E36" s="27"/>
      <c r="F36" s="27"/>
      <c r="G36" s="27"/>
      <c r="H36" s="27"/>
      <c r="I36" s="27"/>
      <c r="J36" s="26"/>
      <c r="K36" s="449"/>
      <c r="L36" s="80">
        <v>0.113</v>
      </c>
      <c r="M36" s="84">
        <v>340.56723119387158</v>
      </c>
      <c r="N36" s="89">
        <v>341.2977621893304</v>
      </c>
      <c r="O36" s="90">
        <v>342.02829318478916</v>
      </c>
      <c r="P36" s="91">
        <v>342.75882418024798</v>
      </c>
      <c r="Q36" s="86">
        <v>343.48935517570675</v>
      </c>
      <c r="R36" s="26"/>
    </row>
    <row r="37" spans="2:18" ht="19.5" thickBot="1" x14ac:dyDescent="0.35">
      <c r="B37" s="32" t="s">
        <v>69</v>
      </c>
      <c r="C37" s="65">
        <v>0.5</v>
      </c>
      <c r="D37" s="66">
        <v>1</v>
      </c>
      <c r="E37" s="66">
        <v>1.5</v>
      </c>
      <c r="F37" s="66">
        <v>2</v>
      </c>
      <c r="G37" s="66">
        <v>2.5</v>
      </c>
      <c r="H37" s="66">
        <v>3</v>
      </c>
      <c r="I37" s="66">
        <v>3.5</v>
      </c>
      <c r="J37" s="26"/>
      <c r="K37" s="450"/>
      <c r="L37" s="92">
        <v>0.11799999999999999</v>
      </c>
      <c r="M37" s="93">
        <v>318.02551350574828</v>
      </c>
      <c r="N37" s="94">
        <v>318.70421909006501</v>
      </c>
      <c r="O37" s="94">
        <v>319.38292467438168</v>
      </c>
      <c r="P37" s="94">
        <v>320.06163025869841</v>
      </c>
      <c r="Q37" s="95">
        <v>320.74033584301515</v>
      </c>
      <c r="R37" s="26"/>
    </row>
    <row r="38" spans="2:18" ht="18.75" x14ac:dyDescent="0.3">
      <c r="B38" s="27"/>
      <c r="C38" s="28"/>
      <c r="D38" s="27"/>
      <c r="E38" s="27"/>
      <c r="F38" s="27"/>
      <c r="G38" s="27"/>
      <c r="H38" s="27"/>
      <c r="I38" s="27"/>
      <c r="J38" s="26"/>
      <c r="K38" s="26"/>
      <c r="L38" s="53"/>
      <c r="M38" s="26"/>
      <c r="N38" s="26"/>
      <c r="O38" s="26"/>
      <c r="P38" s="26"/>
      <c r="Q38" s="26"/>
      <c r="R38" s="26"/>
    </row>
    <row r="39" spans="2:18" ht="18.75" x14ac:dyDescent="0.3">
      <c r="B39" s="32" t="s">
        <v>41</v>
      </c>
      <c r="C39" s="67">
        <v>9.8000000000000004E-2</v>
      </c>
      <c r="D39" s="68">
        <f t="shared" ref="D39:G39" si="15">C39</f>
        <v>9.8000000000000004E-2</v>
      </c>
      <c r="E39" s="68">
        <f t="shared" si="15"/>
        <v>9.8000000000000004E-2</v>
      </c>
      <c r="F39" s="68">
        <f t="shared" si="15"/>
        <v>9.8000000000000004E-2</v>
      </c>
      <c r="G39" s="68">
        <f t="shared" si="15"/>
        <v>9.8000000000000004E-2</v>
      </c>
      <c r="H39" s="68">
        <f>G39</f>
        <v>9.8000000000000004E-2</v>
      </c>
      <c r="I39" s="68">
        <f>H39</f>
        <v>9.8000000000000004E-2</v>
      </c>
      <c r="R39" s="26"/>
    </row>
    <row r="40" spans="2:18" ht="18.75" x14ac:dyDescent="0.3">
      <c r="B40" s="27"/>
      <c r="C40" s="28"/>
      <c r="D40" s="27"/>
      <c r="E40" s="27"/>
      <c r="F40" s="27"/>
      <c r="G40" s="27"/>
      <c r="H40" s="27"/>
      <c r="I40" s="27"/>
      <c r="R40" s="26"/>
    </row>
    <row r="41" spans="2:18" ht="18.75" x14ac:dyDescent="0.3">
      <c r="B41" s="32" t="s">
        <v>70</v>
      </c>
      <c r="C41" s="69">
        <f>(1/((1+$J$38)^C37))</f>
        <v>1</v>
      </c>
      <c r="D41" s="70">
        <f>(1/((1+$C$39)^D37))</f>
        <v>0.91074681238615662</v>
      </c>
      <c r="E41" s="70">
        <f t="shared" ref="E41:I41" si="16">(1/((1+$C$39)^E37))</f>
        <v>0.86915351292329701</v>
      </c>
      <c r="F41" s="70">
        <f t="shared" si="16"/>
        <v>0.82945975627154511</v>
      </c>
      <c r="G41" s="70">
        <f t="shared" si="16"/>
        <v>0.79157879136912301</v>
      </c>
      <c r="H41" s="70">
        <f t="shared" si="16"/>
        <v>0.75542782902690808</v>
      </c>
      <c r="I41" s="70">
        <f t="shared" si="16"/>
        <v>0.72092786099191519</v>
      </c>
      <c r="R41" s="26"/>
    </row>
    <row r="42" spans="2:18" ht="18.75" x14ac:dyDescent="0.3">
      <c r="B42" s="27"/>
      <c r="C42" s="28"/>
      <c r="D42" s="27"/>
      <c r="E42" s="27"/>
      <c r="F42" s="27"/>
      <c r="G42" s="27"/>
      <c r="H42" s="27"/>
      <c r="I42" s="27"/>
      <c r="R42" s="26"/>
    </row>
    <row r="43" spans="2:18" ht="18.75" x14ac:dyDescent="0.3">
      <c r="B43" s="32" t="s">
        <v>71</v>
      </c>
      <c r="C43" s="71">
        <f>C33*C41</f>
        <v>1704.1999999999998</v>
      </c>
      <c r="D43" s="72">
        <f>D33*D41</f>
        <v>1847.7061766848817</v>
      </c>
      <c r="E43" s="72">
        <f t="shared" ref="E43:I43" si="17">E33*E41</f>
        <v>1851.4885883746158</v>
      </c>
      <c r="F43" s="72">
        <f t="shared" si="17"/>
        <v>1819.9401002592895</v>
      </c>
      <c r="G43" s="72">
        <f t="shared" si="17"/>
        <v>1788.9291834304461</v>
      </c>
      <c r="H43" s="72">
        <f t="shared" si="17"/>
        <v>1741.3743800841612</v>
      </c>
      <c r="I43" s="72">
        <f t="shared" si="17"/>
        <v>1695.0837180701603</v>
      </c>
      <c r="R43" s="26"/>
    </row>
    <row r="44" spans="2:18" ht="18.75" x14ac:dyDescent="0.3">
      <c r="B44" s="26"/>
      <c r="C44" s="26"/>
      <c r="D44" s="26"/>
      <c r="E44" s="26"/>
      <c r="F44" s="26"/>
      <c r="G44" s="26"/>
      <c r="H44" s="26"/>
      <c r="I44" s="26"/>
      <c r="R44" s="26"/>
    </row>
  </sheetData>
  <mergeCells count="5">
    <mergeCell ref="B1:V1"/>
    <mergeCell ref="K3:L3"/>
    <mergeCell ref="K31:L31"/>
    <mergeCell ref="M31:Q31"/>
    <mergeCell ref="K33:K37"/>
  </mergeCells>
  <conditionalFormatting sqref="M33:Q37">
    <cfRule type="colorScale" priority="1">
      <colorScale>
        <cfvo type="min"/>
        <cfvo type="max"/>
        <color rgb="FFFCFCFF"/>
        <color rgb="FF63BE7B"/>
      </colorScale>
    </cfRule>
  </conditionalFormatting>
  <conditionalFormatting sqref="M41:Q45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E502-05FD-44C8-BBA4-0A18C38F26F8}">
  <sheetPr>
    <tabColor rgb="FF002060"/>
  </sheetPr>
  <dimension ref="B1:BH61"/>
  <sheetViews>
    <sheetView topLeftCell="M1" zoomScale="109" zoomScaleNormal="160" workbookViewId="0">
      <selection activeCell="AA4" sqref="AA4"/>
    </sheetView>
  </sheetViews>
  <sheetFormatPr defaultColWidth="10" defaultRowHeight="15" x14ac:dyDescent="0.25"/>
  <cols>
    <col min="1" max="1" width="10" style="132"/>
    <col min="2" max="2" width="21.85546875" style="132" customWidth="1"/>
    <col min="3" max="3" width="13.140625" style="132" customWidth="1"/>
    <col min="4" max="4" width="8.42578125" style="132" customWidth="1"/>
    <col min="5" max="5" width="21.85546875" style="132" customWidth="1"/>
    <col min="6" max="6" width="13.140625" style="132" customWidth="1"/>
    <col min="7" max="7" width="8.42578125" style="132" customWidth="1"/>
    <col min="8" max="8" width="21.85546875" style="132" customWidth="1"/>
    <col min="9" max="9" width="13.140625" style="132" customWidth="1"/>
    <col min="10" max="10" width="8.42578125" style="132" customWidth="1"/>
    <col min="11" max="11" width="21.85546875" style="132" customWidth="1"/>
    <col min="12" max="12" width="13.140625" style="132" customWidth="1"/>
    <col min="13" max="13" width="8.42578125" style="132" customWidth="1"/>
    <col min="14" max="14" width="21.85546875" style="132" customWidth="1"/>
    <col min="15" max="15" width="13.28515625" style="132" customWidth="1"/>
    <col min="16" max="16" width="8.42578125" style="132" customWidth="1"/>
    <col min="17" max="17" width="21.85546875" style="132" customWidth="1"/>
    <col min="18" max="18" width="13.140625" style="132" customWidth="1"/>
    <col min="19" max="19" width="8.42578125" style="132" customWidth="1"/>
    <col min="20" max="20" width="21.85546875" style="132" customWidth="1"/>
    <col min="21" max="21" width="13.140625" style="132" customWidth="1"/>
    <col min="22" max="22" width="8.42578125" style="132" customWidth="1"/>
    <col min="23" max="23" width="21.85546875" style="132" customWidth="1"/>
    <col min="24" max="24" width="13.140625" style="132" customWidth="1"/>
    <col min="25" max="25" width="8.42578125" style="132" customWidth="1"/>
    <col min="26" max="26" width="21.85546875" style="132" customWidth="1"/>
    <col min="27" max="27" width="13.140625" style="132" customWidth="1"/>
    <col min="28" max="28" width="8.42578125" style="132" customWidth="1"/>
    <col min="29" max="29" width="21.85546875" style="132" customWidth="1"/>
    <col min="30" max="30" width="13.140625" style="132" customWidth="1"/>
    <col min="31" max="31" width="8.42578125" style="132" customWidth="1"/>
    <col min="32" max="32" width="21.85546875" style="132" customWidth="1"/>
    <col min="33" max="33" width="13.140625" style="132" customWidth="1"/>
    <col min="34" max="34" width="8.42578125" style="132" customWidth="1"/>
    <col min="35" max="35" width="21.85546875" style="132" customWidth="1"/>
    <col min="36" max="36" width="13.140625" style="132" customWidth="1"/>
    <col min="37" max="37" width="8.42578125" style="132" customWidth="1"/>
    <col min="38" max="38" width="21.85546875" style="132" customWidth="1"/>
    <col min="39" max="39" width="13.140625" style="132" customWidth="1"/>
    <col min="40" max="40" width="8.42578125" style="132" customWidth="1"/>
    <col min="41" max="41" width="21.85546875" style="132" customWidth="1"/>
    <col min="42" max="42" width="13.140625" style="132" customWidth="1"/>
    <col min="43" max="43" width="8.42578125" style="132" customWidth="1"/>
    <col min="44" max="44" width="21.85546875" style="132" customWidth="1"/>
    <col min="45" max="45" width="13.140625" style="132" customWidth="1"/>
    <col min="46" max="46" width="8.42578125" style="132" customWidth="1"/>
    <col min="47" max="47" width="21.85546875" style="132" customWidth="1"/>
    <col min="48" max="48" width="13.140625" style="132" customWidth="1"/>
    <col min="49" max="49" width="8.42578125" style="132" customWidth="1"/>
    <col min="50" max="50" width="21.85546875" style="132" customWidth="1"/>
    <col min="51" max="51" width="13.140625" style="132" customWidth="1"/>
    <col min="52" max="52" width="8.42578125" style="132" customWidth="1"/>
    <col min="53" max="53" width="21.85546875" style="132" customWidth="1"/>
    <col min="54" max="54" width="13.140625" style="132" customWidth="1"/>
    <col min="55" max="55" width="8.42578125" style="132" customWidth="1"/>
    <col min="56" max="56" width="21.85546875" style="132" customWidth="1"/>
    <col min="57" max="57" width="13.140625" style="132" customWidth="1"/>
    <col min="58" max="58" width="8.42578125" style="132" customWidth="1"/>
    <col min="59" max="59" width="21.85546875" style="132" customWidth="1"/>
    <col min="60" max="60" width="13.140625" style="132" customWidth="1"/>
    <col min="61" max="61" width="8.42578125" style="132" customWidth="1"/>
    <col min="62" max="16384" width="10" style="132"/>
  </cols>
  <sheetData>
    <row r="1" spans="2:60" ht="45.75" x14ac:dyDescent="0.65">
      <c r="B1" s="434" t="s">
        <v>76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</row>
    <row r="2" spans="2:60" x14ac:dyDescent="0.25">
      <c r="G2" s="365"/>
    </row>
    <row r="3" spans="2:60" x14ac:dyDescent="0.25">
      <c r="B3" s="455" t="s">
        <v>77</v>
      </c>
      <c r="C3" s="456"/>
      <c r="E3" s="452">
        <v>1</v>
      </c>
      <c r="F3" s="452"/>
      <c r="H3" s="452">
        <f>E3+1</f>
        <v>2</v>
      </c>
      <c r="I3" s="452"/>
      <c r="J3" s="132" t="s">
        <v>34</v>
      </c>
      <c r="K3" s="452">
        <f>H3+1</f>
        <v>3</v>
      </c>
      <c r="L3" s="452"/>
      <c r="N3" s="452">
        <f>K3+1</f>
        <v>4</v>
      </c>
      <c r="O3" s="452"/>
      <c r="P3" s="132" t="s">
        <v>34</v>
      </c>
      <c r="Q3" s="452">
        <f>N3+1</f>
        <v>5</v>
      </c>
      <c r="R3" s="452"/>
      <c r="T3" s="452">
        <f>Q3+1</f>
        <v>6</v>
      </c>
      <c r="U3" s="452"/>
      <c r="W3" s="452">
        <f>T3+1</f>
        <v>7</v>
      </c>
      <c r="X3" s="452"/>
      <c r="Y3" s="132" t="s">
        <v>34</v>
      </c>
      <c r="Z3" s="452">
        <f>W3+1</f>
        <v>8</v>
      </c>
      <c r="AA3" s="452"/>
      <c r="AB3" s="132" t="s">
        <v>34</v>
      </c>
      <c r="AC3" s="452">
        <f>Z3+1</f>
        <v>9</v>
      </c>
      <c r="AD3" s="452"/>
      <c r="AE3" s="132" t="s">
        <v>34</v>
      </c>
      <c r="AF3" s="452">
        <f>AC3+1</f>
        <v>10</v>
      </c>
      <c r="AG3" s="452"/>
      <c r="AI3" s="452">
        <f>AF3+1</f>
        <v>11</v>
      </c>
      <c r="AJ3" s="452"/>
    </row>
    <row r="4" spans="2:60" x14ac:dyDescent="0.25">
      <c r="B4" s="395" t="s">
        <v>28</v>
      </c>
      <c r="C4" s="396"/>
      <c r="D4" s="133"/>
      <c r="F4" s="134" t="s">
        <v>182</v>
      </c>
      <c r="G4" s="135"/>
      <c r="I4" s="136" t="s">
        <v>184</v>
      </c>
      <c r="J4" s="135"/>
      <c r="L4" s="136" t="s">
        <v>183</v>
      </c>
      <c r="M4" s="135"/>
      <c r="O4" s="137" t="s">
        <v>194</v>
      </c>
      <c r="P4" s="135"/>
      <c r="Q4" s="138" t="s">
        <v>34</v>
      </c>
      <c r="R4" s="137" t="s">
        <v>185</v>
      </c>
      <c r="S4" s="139"/>
      <c r="T4" s="138" t="s">
        <v>34</v>
      </c>
      <c r="U4" s="137" t="s">
        <v>187</v>
      </c>
      <c r="V4" s="135"/>
      <c r="W4" s="138" t="s">
        <v>34</v>
      </c>
      <c r="X4" s="137" t="s">
        <v>189</v>
      </c>
      <c r="Y4" s="135"/>
      <c r="Z4" s="138" t="s">
        <v>34</v>
      </c>
      <c r="AA4" s="137" t="s">
        <v>191</v>
      </c>
      <c r="AC4" s="138" t="s">
        <v>34</v>
      </c>
      <c r="AD4" s="137"/>
      <c r="AE4" s="135"/>
      <c r="AF4" s="138" t="s">
        <v>34</v>
      </c>
      <c r="AG4" s="137"/>
      <c r="AI4" s="138" t="s">
        <v>34</v>
      </c>
      <c r="AJ4" s="137"/>
    </row>
    <row r="5" spans="2:60" x14ac:dyDescent="0.25">
      <c r="B5" s="453" t="s">
        <v>88</v>
      </c>
      <c r="C5" s="454"/>
      <c r="D5" s="133"/>
      <c r="F5" s="134" t="s">
        <v>89</v>
      </c>
      <c r="G5" s="135"/>
      <c r="I5" s="136" t="s">
        <v>90</v>
      </c>
      <c r="J5" s="135"/>
      <c r="L5" s="136"/>
      <c r="M5" s="135"/>
      <c r="O5" s="137" t="s">
        <v>193</v>
      </c>
      <c r="P5" s="135"/>
      <c r="Q5" s="138"/>
      <c r="R5" s="137" t="s">
        <v>186</v>
      </c>
      <c r="S5" s="139"/>
      <c r="T5" s="138"/>
      <c r="U5" s="137" t="s">
        <v>188</v>
      </c>
      <c r="V5" s="135"/>
      <c r="W5" s="138"/>
      <c r="X5" s="137" t="s">
        <v>190</v>
      </c>
      <c r="Y5" s="135"/>
      <c r="Z5" s="138"/>
      <c r="AA5" s="137" t="s">
        <v>192</v>
      </c>
      <c r="AC5" s="138"/>
      <c r="AD5" s="137"/>
      <c r="AE5" s="135"/>
      <c r="AF5" s="138"/>
      <c r="AG5" s="137"/>
      <c r="AI5" s="138"/>
      <c r="AJ5" s="137"/>
    </row>
    <row r="6" spans="2:60" x14ac:dyDescent="0.25">
      <c r="B6" s="140" t="s">
        <v>91</v>
      </c>
      <c r="C6" s="141" t="s">
        <v>92</v>
      </c>
      <c r="E6" s="142" t="s">
        <v>91</v>
      </c>
      <c r="F6" s="143" t="s">
        <v>92</v>
      </c>
      <c r="G6" s="144"/>
      <c r="H6" s="142" t="s">
        <v>91</v>
      </c>
      <c r="I6" s="143" t="s">
        <v>92</v>
      </c>
      <c r="J6" s="144"/>
      <c r="K6" s="142" t="s">
        <v>91</v>
      </c>
      <c r="L6" s="143" t="s">
        <v>92</v>
      </c>
      <c r="M6" s="144"/>
      <c r="N6" s="142" t="s">
        <v>91</v>
      </c>
      <c r="O6" s="143" t="s">
        <v>92</v>
      </c>
      <c r="P6" s="145"/>
      <c r="Q6" s="142" t="s">
        <v>91</v>
      </c>
      <c r="R6" s="143" t="s">
        <v>92</v>
      </c>
      <c r="S6" s="146"/>
      <c r="T6" s="142" t="s">
        <v>91</v>
      </c>
      <c r="U6" s="143" t="s">
        <v>92</v>
      </c>
      <c r="V6" s="145"/>
      <c r="W6" s="142" t="s">
        <v>91</v>
      </c>
      <c r="X6" s="143" t="s">
        <v>92</v>
      </c>
      <c r="Y6" s="135"/>
      <c r="Z6" s="142" t="s">
        <v>91</v>
      </c>
      <c r="AA6" s="143" t="s">
        <v>92</v>
      </c>
      <c r="AB6" s="145"/>
      <c r="AC6" s="142" t="s">
        <v>91</v>
      </c>
      <c r="AD6" s="143"/>
      <c r="AE6" s="145"/>
      <c r="AF6" s="142" t="s">
        <v>91</v>
      </c>
      <c r="AG6" s="143"/>
      <c r="AI6" s="142" t="s">
        <v>91</v>
      </c>
      <c r="AJ6" s="143"/>
    </row>
    <row r="7" spans="2:60" x14ac:dyDescent="0.25">
      <c r="B7" s="147" t="s">
        <v>93</v>
      </c>
      <c r="C7" s="148">
        <v>11218.8</v>
      </c>
      <c r="E7" s="149" t="s">
        <v>93</v>
      </c>
      <c r="F7" s="150">
        <v>15249.6</v>
      </c>
      <c r="G7" s="144"/>
      <c r="H7" s="149" t="s">
        <v>93</v>
      </c>
      <c r="I7" s="151">
        <v>26060.6</v>
      </c>
      <c r="J7" s="144"/>
      <c r="K7" s="149" t="s">
        <v>93</v>
      </c>
      <c r="L7" s="151">
        <v>16560</v>
      </c>
      <c r="M7" s="144"/>
      <c r="N7" s="149" t="s">
        <v>93</v>
      </c>
      <c r="O7" s="151">
        <v>45570.400000000001</v>
      </c>
      <c r="P7" s="144"/>
      <c r="Q7" s="149" t="s">
        <v>93</v>
      </c>
      <c r="R7" s="150">
        <v>3437.6</v>
      </c>
      <c r="S7" s="152"/>
      <c r="T7" s="149" t="s">
        <v>93</v>
      </c>
      <c r="U7" s="150">
        <v>5143.5</v>
      </c>
      <c r="V7" s="144"/>
      <c r="W7" s="149" t="s">
        <v>93</v>
      </c>
      <c r="X7" s="150">
        <v>6240.3</v>
      </c>
      <c r="Y7" s="135"/>
      <c r="Z7" s="149" t="s">
        <v>93</v>
      </c>
      <c r="AA7" s="150">
        <v>5906.5</v>
      </c>
      <c r="AB7" s="144"/>
      <c r="AC7" s="149" t="s">
        <v>93</v>
      </c>
      <c r="AD7" s="150"/>
      <c r="AE7" s="144"/>
      <c r="AF7" s="149" t="s">
        <v>93</v>
      </c>
      <c r="AG7" s="150"/>
      <c r="AI7" s="149" t="s">
        <v>93</v>
      </c>
      <c r="AJ7" s="150"/>
    </row>
    <row r="8" spans="2:60" x14ac:dyDescent="0.25">
      <c r="B8" s="153" t="s">
        <v>94</v>
      </c>
      <c r="C8" s="154">
        <v>46053</v>
      </c>
      <c r="E8" s="155" t="s">
        <v>94</v>
      </c>
      <c r="F8" s="156">
        <v>46053</v>
      </c>
      <c r="G8" s="144"/>
      <c r="H8" s="155" t="s">
        <v>94</v>
      </c>
      <c r="I8" s="156">
        <v>46022</v>
      </c>
      <c r="J8" s="144"/>
      <c r="K8" s="155" t="s">
        <v>94</v>
      </c>
      <c r="L8" s="156">
        <v>46022</v>
      </c>
      <c r="M8" s="144"/>
      <c r="N8" s="155" t="s">
        <v>94</v>
      </c>
      <c r="O8" s="156">
        <v>46173</v>
      </c>
      <c r="P8" s="144"/>
      <c r="Q8" s="155" t="s">
        <v>94</v>
      </c>
      <c r="R8" s="156">
        <v>46022</v>
      </c>
      <c r="S8" s="152"/>
      <c r="T8" s="155" t="s">
        <v>94</v>
      </c>
      <c r="U8" s="156">
        <v>46112</v>
      </c>
      <c r="V8" s="144"/>
      <c r="W8" s="155" t="s">
        <v>94</v>
      </c>
      <c r="X8" s="156">
        <v>46053</v>
      </c>
      <c r="Y8" s="135"/>
      <c r="Z8" s="155" t="s">
        <v>94</v>
      </c>
      <c r="AA8" s="156">
        <v>46053</v>
      </c>
      <c r="AB8" s="144"/>
      <c r="AC8" s="155" t="s">
        <v>94</v>
      </c>
      <c r="AD8" s="156"/>
      <c r="AE8" s="144"/>
      <c r="AF8" s="155" t="s">
        <v>94</v>
      </c>
      <c r="AG8" s="156"/>
      <c r="AI8" s="155" t="s">
        <v>94</v>
      </c>
      <c r="AJ8" s="156"/>
    </row>
    <row r="9" spans="2:60" x14ac:dyDescent="0.25">
      <c r="B9" s="157" t="s">
        <v>95</v>
      </c>
      <c r="C9" s="158">
        <v>10588.1</v>
      </c>
      <c r="E9" s="159" t="s">
        <v>95</v>
      </c>
      <c r="F9" s="150">
        <v>15086</v>
      </c>
      <c r="G9" s="144"/>
      <c r="H9" s="159" t="s">
        <v>95</v>
      </c>
      <c r="I9" s="150">
        <v>23683</v>
      </c>
      <c r="J9" s="144"/>
      <c r="K9" s="159" t="s">
        <v>95</v>
      </c>
      <c r="L9" s="150">
        <v>17194</v>
      </c>
      <c r="M9" s="144"/>
      <c r="N9" s="159" t="s">
        <v>95</v>
      </c>
      <c r="O9" s="150">
        <v>47818</v>
      </c>
      <c r="P9" s="144"/>
      <c r="Q9" s="159" t="s">
        <v>95</v>
      </c>
      <c r="R9" s="150">
        <v>3368.6</v>
      </c>
      <c r="S9" s="152"/>
      <c r="T9" s="159" t="s">
        <v>95</v>
      </c>
      <c r="U9" s="150">
        <v>5315.9</v>
      </c>
      <c r="V9" s="144"/>
      <c r="W9" s="159" t="s">
        <v>95</v>
      </c>
      <c r="X9" s="150">
        <v>6228.5</v>
      </c>
      <c r="Y9" s="135"/>
      <c r="Z9" s="159" t="s">
        <v>95</v>
      </c>
      <c r="AA9" s="150">
        <v>5550.7</v>
      </c>
      <c r="AB9" s="144"/>
      <c r="AC9" s="159" t="s">
        <v>95</v>
      </c>
      <c r="AD9" s="150"/>
      <c r="AE9" s="144"/>
      <c r="AF9" s="159" t="s">
        <v>95</v>
      </c>
      <c r="AG9" s="150"/>
      <c r="AI9" s="159" t="s">
        <v>95</v>
      </c>
      <c r="AJ9" s="150"/>
    </row>
    <row r="10" spans="2:60" x14ac:dyDescent="0.25">
      <c r="B10" s="157" t="s">
        <v>96</v>
      </c>
      <c r="C10" s="160">
        <v>45690</v>
      </c>
      <c r="E10" s="159" t="s">
        <v>96</v>
      </c>
      <c r="F10" s="156">
        <v>45689</v>
      </c>
      <c r="G10" s="144"/>
      <c r="H10" s="159" t="s">
        <v>96</v>
      </c>
      <c r="I10" s="156">
        <v>45657</v>
      </c>
      <c r="J10" s="144"/>
      <c r="K10" s="159" t="s">
        <v>96</v>
      </c>
      <c r="L10" s="156">
        <v>45657</v>
      </c>
      <c r="M10" s="144"/>
      <c r="N10" s="159" t="s">
        <v>96</v>
      </c>
      <c r="O10" s="156">
        <v>45716</v>
      </c>
      <c r="P10" s="144"/>
      <c r="Q10" s="159" t="s">
        <v>96</v>
      </c>
      <c r="R10" s="156">
        <v>45657</v>
      </c>
      <c r="S10" s="152"/>
      <c r="T10" s="159" t="s">
        <v>96</v>
      </c>
      <c r="U10" s="156">
        <v>45657</v>
      </c>
      <c r="V10" s="144"/>
      <c r="W10" s="159" t="s">
        <v>96</v>
      </c>
      <c r="X10" s="156">
        <v>45689</v>
      </c>
      <c r="Y10" s="135"/>
      <c r="Z10" s="159" t="s">
        <v>96</v>
      </c>
      <c r="AA10" s="156">
        <v>45688</v>
      </c>
      <c r="AB10" s="144"/>
      <c r="AC10" s="159" t="s">
        <v>96</v>
      </c>
      <c r="AD10" s="156"/>
      <c r="AE10" s="144"/>
      <c r="AF10" s="159" t="s">
        <v>96</v>
      </c>
      <c r="AG10" s="156"/>
      <c r="AI10" s="159" t="s">
        <v>96</v>
      </c>
      <c r="AJ10" s="156"/>
    </row>
    <row r="11" spans="2:60" x14ac:dyDescent="0.25">
      <c r="B11" s="161" t="s">
        <v>97</v>
      </c>
      <c r="C11" s="148">
        <v>6270.8</v>
      </c>
      <c r="E11" s="149" t="s">
        <v>97</v>
      </c>
      <c r="F11" s="150">
        <v>6227</v>
      </c>
      <c r="G11" s="144"/>
      <c r="H11" s="149" t="s">
        <v>97</v>
      </c>
      <c r="I11" s="150">
        <v>12025</v>
      </c>
      <c r="J11" s="144"/>
      <c r="K11" s="149" t="s">
        <v>97</v>
      </c>
      <c r="L11" s="150">
        <v>12681</v>
      </c>
      <c r="M11" s="144"/>
      <c r="N11" s="149" t="s">
        <v>97</v>
      </c>
      <c r="O11" s="150">
        <v>20955</v>
      </c>
      <c r="P11" s="144"/>
      <c r="Q11" s="149" t="s">
        <v>97</v>
      </c>
      <c r="R11" s="150">
        <v>1691.1</v>
      </c>
      <c r="S11" s="152"/>
      <c r="T11" s="149" t="s">
        <v>97</v>
      </c>
      <c r="U11" s="150">
        <v>2523.6</v>
      </c>
      <c r="V11" s="144"/>
      <c r="W11" s="149" t="s">
        <v>97</v>
      </c>
      <c r="X11" s="150">
        <v>2283.4</v>
      </c>
      <c r="Y11" s="135"/>
      <c r="Z11" s="149" t="s">
        <v>97</v>
      </c>
      <c r="AA11" s="150">
        <v>1931.3</v>
      </c>
      <c r="AB11" s="144"/>
      <c r="AC11" s="149" t="s">
        <v>97</v>
      </c>
      <c r="AD11" s="150"/>
      <c r="AE11" s="144"/>
      <c r="AF11" s="149" t="s">
        <v>97</v>
      </c>
      <c r="AG11" s="150"/>
      <c r="AI11" s="149" t="s">
        <v>97</v>
      </c>
      <c r="AJ11" s="150"/>
    </row>
    <row r="12" spans="2:60" x14ac:dyDescent="0.25">
      <c r="B12" s="161" t="s">
        <v>98</v>
      </c>
      <c r="C12" s="148">
        <v>2952.2</v>
      </c>
      <c r="D12" s="451"/>
      <c r="E12" s="149" t="s">
        <v>98</v>
      </c>
      <c r="F12" s="150">
        <v>1612</v>
      </c>
      <c r="G12" s="144"/>
      <c r="H12" s="149" t="s">
        <v>98</v>
      </c>
      <c r="I12" s="150">
        <v>2603</v>
      </c>
      <c r="J12" s="144"/>
      <c r="K12" s="149" t="s">
        <v>98</v>
      </c>
      <c r="L12" s="150">
        <v>4709</v>
      </c>
      <c r="M12" s="144"/>
      <c r="N12" s="149" t="s">
        <v>98</v>
      </c>
      <c r="O12" s="150">
        <v>5748.4</v>
      </c>
      <c r="P12" s="144"/>
      <c r="Q12" s="149" t="s">
        <v>98</v>
      </c>
      <c r="R12" s="150">
        <v>326.60000000000002</v>
      </c>
      <c r="S12" s="152"/>
      <c r="T12" s="149" t="s">
        <v>98</v>
      </c>
      <c r="U12" s="162">
        <v>566.6</v>
      </c>
      <c r="V12" s="144"/>
      <c r="W12" s="149" t="s">
        <v>98</v>
      </c>
      <c r="X12" s="162">
        <v>623.70000000000005</v>
      </c>
      <c r="Y12" s="135"/>
      <c r="Z12" s="149" t="s">
        <v>98</v>
      </c>
      <c r="AA12" s="162">
        <v>595.4</v>
      </c>
      <c r="AB12" s="144"/>
      <c r="AC12" s="149" t="s">
        <v>98</v>
      </c>
      <c r="AD12" s="162"/>
      <c r="AE12" s="144"/>
      <c r="AF12" s="149" t="s">
        <v>98</v>
      </c>
      <c r="AG12" s="162"/>
      <c r="AI12" s="149" t="s">
        <v>98</v>
      </c>
      <c r="AJ12" s="162"/>
    </row>
    <row r="13" spans="2:60" x14ac:dyDescent="0.25">
      <c r="B13" s="161" t="s">
        <v>99</v>
      </c>
      <c r="C13" s="148">
        <v>2505.6999999999998</v>
      </c>
      <c r="D13" s="451"/>
      <c r="E13" s="149" t="s">
        <v>99</v>
      </c>
      <c r="F13" s="150">
        <v>1112</v>
      </c>
      <c r="G13" s="144"/>
      <c r="H13" s="149" t="s">
        <v>99</v>
      </c>
      <c r="I13" s="150">
        <v>1433</v>
      </c>
      <c r="J13" s="144"/>
      <c r="K13" s="149" t="s">
        <v>99</v>
      </c>
      <c r="L13" s="150">
        <v>2610</v>
      </c>
      <c r="M13" s="144"/>
      <c r="N13" s="149" t="s">
        <v>99</v>
      </c>
      <c r="O13" s="150">
        <v>4965.3999999999996</v>
      </c>
      <c r="P13" s="144"/>
      <c r="Q13" s="149" t="s">
        <v>99</v>
      </c>
      <c r="R13" s="150">
        <v>270.7</v>
      </c>
      <c r="S13" s="152"/>
      <c r="T13" s="149" t="s">
        <v>99</v>
      </c>
      <c r="U13" s="150">
        <v>292.60000000000002</v>
      </c>
      <c r="V13" s="144"/>
      <c r="W13" s="149" t="s">
        <v>99</v>
      </c>
      <c r="X13" s="150">
        <v>365.7</v>
      </c>
      <c r="Y13" s="135"/>
      <c r="Z13" s="149" t="s">
        <v>99</v>
      </c>
      <c r="AA13" s="150">
        <v>480</v>
      </c>
      <c r="AB13" s="144"/>
      <c r="AC13" s="149" t="s">
        <v>99</v>
      </c>
      <c r="AD13" s="150"/>
      <c r="AE13" s="144"/>
      <c r="AF13" s="149" t="s">
        <v>99</v>
      </c>
      <c r="AG13" s="150"/>
      <c r="AI13" s="149" t="s">
        <v>99</v>
      </c>
      <c r="AJ13" s="150"/>
    </row>
    <row r="14" spans="2:60" x14ac:dyDescent="0.25">
      <c r="B14" s="161" t="s">
        <v>100</v>
      </c>
      <c r="C14" s="148">
        <v>2272.6999999999998</v>
      </c>
      <c r="E14" s="149" t="s">
        <v>100</v>
      </c>
      <c r="F14" s="150">
        <v>1486</v>
      </c>
      <c r="G14" s="144"/>
      <c r="H14" s="149" t="s">
        <v>100</v>
      </c>
      <c r="I14" s="150">
        <v>2750</v>
      </c>
      <c r="J14" s="144"/>
      <c r="K14" s="149" t="s">
        <v>100</v>
      </c>
      <c r="L14" s="150">
        <v>4170</v>
      </c>
      <c r="M14" s="144"/>
      <c r="N14" s="149" t="s">
        <v>100</v>
      </c>
      <c r="O14" s="150">
        <v>5854</v>
      </c>
      <c r="P14" s="144"/>
      <c r="Q14" s="149" t="s">
        <v>100</v>
      </c>
      <c r="R14" s="150">
        <v>491</v>
      </c>
      <c r="S14" s="152"/>
      <c r="T14" s="149" t="s">
        <v>100</v>
      </c>
      <c r="U14" s="162">
        <v>3.7</v>
      </c>
      <c r="V14" s="144"/>
      <c r="W14" s="149" t="s">
        <v>100</v>
      </c>
      <c r="X14" s="162">
        <v>425</v>
      </c>
      <c r="Y14" s="135"/>
      <c r="Z14" s="149" t="s">
        <v>100</v>
      </c>
      <c r="AA14" s="162">
        <v>502.8</v>
      </c>
      <c r="AB14" s="144"/>
      <c r="AC14" s="149" t="s">
        <v>100</v>
      </c>
      <c r="AD14" s="162"/>
      <c r="AE14" s="144"/>
      <c r="AF14" s="149" t="s">
        <v>100</v>
      </c>
      <c r="AG14" s="162"/>
      <c r="AI14" s="149" t="s">
        <v>100</v>
      </c>
      <c r="AJ14" s="162"/>
    </row>
    <row r="15" spans="2:60" ht="15.75" thickBot="1" x14ac:dyDescent="0.3">
      <c r="B15" s="163" t="s">
        <v>101</v>
      </c>
      <c r="C15" s="164">
        <v>1583.5</v>
      </c>
      <c r="E15" s="165" t="s">
        <v>101</v>
      </c>
      <c r="F15" s="150">
        <v>1039</v>
      </c>
      <c r="G15" s="144"/>
      <c r="H15" s="165" t="s">
        <v>101</v>
      </c>
      <c r="I15" s="150">
        <v>2280</v>
      </c>
      <c r="J15" s="144"/>
      <c r="K15" s="165" t="s">
        <v>101</v>
      </c>
      <c r="L15" s="150">
        <v>861</v>
      </c>
      <c r="M15" s="144"/>
      <c r="N15" s="165" t="s">
        <v>101</v>
      </c>
      <c r="O15" s="150">
        <v>5311</v>
      </c>
      <c r="P15" s="144"/>
      <c r="Q15" s="165" t="s">
        <v>101</v>
      </c>
      <c r="R15" s="150">
        <v>431.2</v>
      </c>
      <c r="S15" s="152"/>
      <c r="T15" s="165" t="s">
        <v>101</v>
      </c>
      <c r="U15" s="162">
        <v>-153.69999999999999</v>
      </c>
      <c r="V15" s="144"/>
      <c r="W15" s="165" t="s">
        <v>101</v>
      </c>
      <c r="X15" s="162">
        <v>247</v>
      </c>
      <c r="Y15" s="135"/>
      <c r="Z15" s="165" t="s">
        <v>101</v>
      </c>
      <c r="AA15" s="162">
        <v>320.3</v>
      </c>
      <c r="AB15" s="144"/>
      <c r="AC15" s="165" t="s">
        <v>101</v>
      </c>
      <c r="AD15" s="162"/>
      <c r="AE15" s="144"/>
      <c r="AF15" s="165" t="s">
        <v>101</v>
      </c>
      <c r="AG15" s="162"/>
      <c r="AI15" s="165" t="s">
        <v>101</v>
      </c>
      <c r="AJ15" s="162"/>
    </row>
    <row r="16" spans="2:60" ht="15.75" thickBot="1" x14ac:dyDescent="0.3"/>
    <row r="17" spans="2:36" ht="15.75" thickBot="1" x14ac:dyDescent="0.3">
      <c r="B17" s="180" t="s">
        <v>102</v>
      </c>
      <c r="C17" s="186"/>
      <c r="E17" s="181" t="s">
        <v>102</v>
      </c>
      <c r="F17" s="182"/>
      <c r="H17" s="181" t="s">
        <v>102</v>
      </c>
      <c r="I17" s="182"/>
      <c r="K17" s="181" t="s">
        <v>102</v>
      </c>
      <c r="L17" s="182"/>
      <c r="N17" s="185" t="s">
        <v>102</v>
      </c>
      <c r="O17" s="182"/>
      <c r="Q17" s="181" t="s">
        <v>102</v>
      </c>
      <c r="R17" s="182">
        <v>1483.2</v>
      </c>
      <c r="T17" s="181" t="s">
        <v>102</v>
      </c>
      <c r="U17" s="182"/>
      <c r="W17" s="181" t="s">
        <v>102</v>
      </c>
      <c r="X17" s="298"/>
      <c r="Z17" s="181" t="s">
        <v>102</v>
      </c>
      <c r="AA17" s="182"/>
      <c r="AC17" s="181" t="s">
        <v>102</v>
      </c>
      <c r="AD17" s="182"/>
      <c r="AF17" s="181" t="s">
        <v>102</v>
      </c>
      <c r="AG17" s="182"/>
      <c r="AI17" s="181" t="s">
        <v>102</v>
      </c>
      <c r="AJ17" s="182"/>
    </row>
    <row r="18" spans="2:36" ht="15.75" thickBot="1" x14ac:dyDescent="0.3">
      <c r="B18" s="163" t="s">
        <v>103</v>
      </c>
      <c r="C18" s="187">
        <v>30321</v>
      </c>
      <c r="E18" s="165" t="s">
        <v>103</v>
      </c>
      <c r="F18" s="183">
        <v>7287.3</v>
      </c>
      <c r="H18" s="165" t="s">
        <v>103</v>
      </c>
      <c r="I18" s="183">
        <v>35820</v>
      </c>
      <c r="K18" s="165" t="s">
        <v>103</v>
      </c>
      <c r="L18" s="183">
        <v>20300.2</v>
      </c>
      <c r="N18" s="184" t="s">
        <v>103</v>
      </c>
      <c r="O18" s="183">
        <v>82434.100000000006</v>
      </c>
      <c r="Q18" s="165" t="s">
        <v>103</v>
      </c>
      <c r="R18" s="183">
        <v>16161.2</v>
      </c>
      <c r="T18" s="165" t="s">
        <v>103</v>
      </c>
      <c r="U18" s="183">
        <v>2396.6</v>
      </c>
      <c r="W18" s="165" t="s">
        <v>103</v>
      </c>
      <c r="X18" s="299">
        <v>1274.0999999999999</v>
      </c>
      <c r="Z18" s="165" t="s">
        <v>103</v>
      </c>
      <c r="AA18" s="183">
        <v>4570</v>
      </c>
      <c r="AC18" s="165" t="s">
        <v>103</v>
      </c>
      <c r="AD18" s="183"/>
      <c r="AF18" s="165" t="s">
        <v>103</v>
      </c>
      <c r="AG18" s="183"/>
      <c r="AI18" s="165" t="s">
        <v>103</v>
      </c>
      <c r="AJ18" s="183"/>
    </row>
    <row r="19" spans="2:36" ht="15.75" thickBot="1" x14ac:dyDescent="0.3"/>
    <row r="20" spans="2:36" x14ac:dyDescent="0.25">
      <c r="B20" s="166" t="s">
        <v>104</v>
      </c>
      <c r="C20" s="166">
        <f>DATEDIF(C10,C8,"m")</f>
        <v>11</v>
      </c>
      <c r="E20" s="166" t="s">
        <v>104</v>
      </c>
      <c r="F20" s="166">
        <f>DATEDIF(F10,F8,"m")</f>
        <v>11</v>
      </c>
      <c r="G20" s="152"/>
      <c r="H20" s="166" t="s">
        <v>104</v>
      </c>
      <c r="I20" s="166">
        <f>DATEDIF(I10,I8,"m")</f>
        <v>12</v>
      </c>
      <c r="J20" s="152"/>
      <c r="K20" s="166" t="s">
        <v>104</v>
      </c>
      <c r="L20" s="166">
        <f>DATEDIF(L10,L8,"m")</f>
        <v>12</v>
      </c>
      <c r="M20" s="152"/>
      <c r="N20" s="166" t="s">
        <v>104</v>
      </c>
      <c r="O20" s="166">
        <f>DATEDIF(O10,O8,"m")</f>
        <v>15</v>
      </c>
      <c r="P20" s="152"/>
      <c r="Q20" s="166" t="s">
        <v>104</v>
      </c>
      <c r="R20" s="166">
        <f>DATEDIF(R10,R8,"m")</f>
        <v>12</v>
      </c>
      <c r="S20" s="152"/>
      <c r="T20" s="166" t="s">
        <v>104</v>
      </c>
      <c r="U20" s="166">
        <f>DATEDIF(U10,U8,"m")</f>
        <v>15</v>
      </c>
      <c r="V20" s="152"/>
      <c r="W20" s="166" t="s">
        <v>104</v>
      </c>
      <c r="X20" s="166">
        <f>DATEDIF(X10,X8,"m")</f>
        <v>11</v>
      </c>
      <c r="Y20" s="152"/>
      <c r="Z20" s="166" t="s">
        <v>104</v>
      </c>
      <c r="AA20" s="166">
        <f>DATEDIF(AA10,AA8,"m")</f>
        <v>12</v>
      </c>
      <c r="AB20" s="152"/>
      <c r="AC20" s="166" t="s">
        <v>104</v>
      </c>
      <c r="AD20" s="166">
        <f>DATEDIF(AD10,AD8,"m")</f>
        <v>0</v>
      </c>
      <c r="AE20" s="152"/>
      <c r="AF20" s="166" t="s">
        <v>104</v>
      </c>
      <c r="AG20" s="166">
        <f>DATEDIF(AG10,AG8,"m")</f>
        <v>0</v>
      </c>
      <c r="AI20" s="166" t="s">
        <v>104</v>
      </c>
      <c r="AJ20" s="166">
        <f>DATEDIF(AJ10,AJ8,"m")</f>
        <v>0</v>
      </c>
    </row>
    <row r="21" spans="2:36" ht="15.75" thickBot="1" x14ac:dyDescent="0.3">
      <c r="B21" s="167" t="s">
        <v>105</v>
      </c>
      <c r="C21" s="168">
        <f>C20/12</f>
        <v>0.91666666666666663</v>
      </c>
      <c r="E21" s="167" t="s">
        <v>105</v>
      </c>
      <c r="F21" s="169">
        <f>F20/12</f>
        <v>0.91666666666666663</v>
      </c>
      <c r="G21" s="152"/>
      <c r="H21" s="167" t="s">
        <v>105</v>
      </c>
      <c r="I21" s="167">
        <f>I20/12</f>
        <v>1</v>
      </c>
      <c r="J21" s="152"/>
      <c r="K21" s="167" t="s">
        <v>105</v>
      </c>
      <c r="L21" s="167">
        <f>L20/12</f>
        <v>1</v>
      </c>
      <c r="M21" s="152"/>
      <c r="N21" s="167" t="s">
        <v>105</v>
      </c>
      <c r="O21" s="167">
        <f>O20/12</f>
        <v>1.25</v>
      </c>
      <c r="P21" s="152"/>
      <c r="Q21" s="167" t="s">
        <v>105</v>
      </c>
      <c r="R21" s="167">
        <f>R20/12</f>
        <v>1</v>
      </c>
      <c r="S21" s="152"/>
      <c r="T21" s="167" t="s">
        <v>105</v>
      </c>
      <c r="U21" s="167">
        <f>U20/12</f>
        <v>1.25</v>
      </c>
      <c r="V21" s="152"/>
      <c r="W21" s="167" t="s">
        <v>105</v>
      </c>
      <c r="X21" s="167">
        <f>X20/12</f>
        <v>0.91666666666666663</v>
      </c>
      <c r="Y21" s="152"/>
      <c r="Z21" s="167" t="s">
        <v>105</v>
      </c>
      <c r="AA21" s="167">
        <f>AA20/12</f>
        <v>1</v>
      </c>
      <c r="AB21" s="152"/>
      <c r="AC21" s="167" t="s">
        <v>105</v>
      </c>
      <c r="AD21" s="167">
        <f>AD20/12</f>
        <v>0</v>
      </c>
      <c r="AE21" s="152"/>
      <c r="AF21" s="167" t="s">
        <v>105</v>
      </c>
      <c r="AG21" s="167">
        <f>AG20/12</f>
        <v>0</v>
      </c>
      <c r="AI21" s="167" t="s">
        <v>105</v>
      </c>
      <c r="AJ21" s="169">
        <f>AJ20/12</f>
        <v>0</v>
      </c>
    </row>
    <row r="23" spans="2:36" x14ac:dyDescent="0.25">
      <c r="B23" s="170" t="s">
        <v>106</v>
      </c>
      <c r="C23" s="171">
        <f>RATE(C21,0,(C9*(-1)),C7)</f>
        <v>6.5154898238045864E-2</v>
      </c>
      <c r="D23" s="172"/>
      <c r="E23" s="170" t="s">
        <v>106</v>
      </c>
      <c r="F23" s="171">
        <f>RATE(F21,0,(F9*(-1)),F7)</f>
        <v>1.1836166941115054E-2</v>
      </c>
      <c r="G23" s="152"/>
      <c r="H23" s="170" t="s">
        <v>106</v>
      </c>
      <c r="I23" s="171">
        <f>RATE(I21,0,(I9*(-1)),I7)</f>
        <v>0.10039268673732203</v>
      </c>
      <c r="J23" s="152"/>
      <c r="K23" s="170" t="s">
        <v>106</v>
      </c>
      <c r="L23" s="171">
        <f>RATE(L21,0,(L9*(-1)),L7)</f>
        <v>-3.6873327905083089E-2</v>
      </c>
      <c r="M23" s="152"/>
      <c r="N23" s="170" t="s">
        <v>106</v>
      </c>
      <c r="O23" s="171">
        <f>RATE(O21,0,(O9*(-1)),O7)</f>
        <v>-3.7782732252192149E-2</v>
      </c>
      <c r="P23" s="152"/>
      <c r="Q23" s="170" t="s">
        <v>106</v>
      </c>
      <c r="R23" s="171">
        <f>RATE(R21,0,(R9*(-1)),R7)</f>
        <v>2.0483286825387276E-2</v>
      </c>
      <c r="S23" s="152"/>
      <c r="T23" s="170" t="s">
        <v>106</v>
      </c>
      <c r="U23" s="171">
        <f>RATE(U21,0,(U9*(-1)),U7)</f>
        <v>-2.6030060117129949E-2</v>
      </c>
      <c r="V23" s="152"/>
      <c r="W23" s="170" t="s">
        <v>106</v>
      </c>
      <c r="X23" s="171">
        <f>RATE(X21,0,(X9*(-1)),X7)</f>
        <v>2.066923844310183E-3</v>
      </c>
      <c r="Y23" s="152"/>
      <c r="Z23" s="170" t="s">
        <v>106</v>
      </c>
      <c r="AA23" s="171">
        <f>RATE(AA21,0,(AA9*(-1)),AA7)</f>
        <v>6.410002342046961E-2</v>
      </c>
      <c r="AB23" s="152"/>
      <c r="AC23" s="170" t="s">
        <v>106</v>
      </c>
      <c r="AD23" s="171" t="e">
        <f>RATE(AD21,0,(AD9*(-1)),AD7)</f>
        <v>#NUM!</v>
      </c>
      <c r="AE23" s="152"/>
      <c r="AF23" s="170" t="s">
        <v>106</v>
      </c>
      <c r="AG23" s="171" t="e">
        <f>RATE(AG21,0,(AG9*(-1)),AG7)</f>
        <v>#NUM!</v>
      </c>
      <c r="AI23" s="170" t="s">
        <v>106</v>
      </c>
      <c r="AJ23" s="171" t="e">
        <f>RATE(AJ21,0,(AJ9*(-1)),AJ7)</f>
        <v>#NUM!</v>
      </c>
    </row>
    <row r="24" spans="2:36" x14ac:dyDescent="0.25">
      <c r="B24" s="173" t="s">
        <v>107</v>
      </c>
      <c r="C24" s="174">
        <f>C11/C9</f>
        <v>0.59224978985842591</v>
      </c>
      <c r="E24" s="173" t="s">
        <v>107</v>
      </c>
      <c r="F24" s="174">
        <f>F11/F9</f>
        <v>0.41276680365902163</v>
      </c>
      <c r="G24" s="152"/>
      <c r="H24" s="173" t="s">
        <v>107</v>
      </c>
      <c r="I24" s="174">
        <f>I11/I9</f>
        <v>0.5077481737955496</v>
      </c>
      <c r="J24" s="152"/>
      <c r="K24" s="173" t="s">
        <v>107</v>
      </c>
      <c r="L24" s="174">
        <f>L11/L9</f>
        <v>0.73752471792485752</v>
      </c>
      <c r="M24" s="152"/>
      <c r="N24" s="173" t="s">
        <v>107</v>
      </c>
      <c r="O24" s="174">
        <f>O11/O9</f>
        <v>0.43822409971140575</v>
      </c>
      <c r="P24" s="152"/>
      <c r="Q24" s="173" t="s">
        <v>107</v>
      </c>
      <c r="R24" s="174">
        <f>R11/R9</f>
        <v>0.5020186427596034</v>
      </c>
      <c r="S24" s="152"/>
      <c r="T24" s="173" t="s">
        <v>107</v>
      </c>
      <c r="U24" s="174">
        <f>U11/U9</f>
        <v>0.4747267631069057</v>
      </c>
      <c r="V24" s="152"/>
      <c r="W24" s="173" t="s">
        <v>107</v>
      </c>
      <c r="X24" s="174">
        <f>X11/X9</f>
        <v>0.36660512161836722</v>
      </c>
      <c r="Y24" s="152"/>
      <c r="Z24" s="173" t="s">
        <v>107</v>
      </c>
      <c r="AA24" s="174">
        <f>AA11/AA9</f>
        <v>0.34793809789756247</v>
      </c>
      <c r="AB24" s="152"/>
      <c r="AC24" s="173" t="s">
        <v>107</v>
      </c>
      <c r="AD24" s="174" t="e">
        <f>AD11/AD9</f>
        <v>#DIV/0!</v>
      </c>
      <c r="AE24" s="152"/>
      <c r="AF24" s="173" t="s">
        <v>107</v>
      </c>
      <c r="AG24" s="174" t="e">
        <f>AG11/AG9</f>
        <v>#DIV/0!</v>
      </c>
      <c r="AI24" s="173" t="s">
        <v>107</v>
      </c>
      <c r="AJ24" s="174" t="e">
        <f>AJ11/AJ9</f>
        <v>#DIV/0!</v>
      </c>
    </row>
    <row r="25" spans="2:36" x14ac:dyDescent="0.25">
      <c r="B25" s="173" t="s">
        <v>6</v>
      </c>
      <c r="C25" s="174">
        <f>C12/C9</f>
        <v>0.27882245162021513</v>
      </c>
      <c r="E25" s="173" t="s">
        <v>6</v>
      </c>
      <c r="F25" s="174">
        <f>F12/F9</f>
        <v>0.10685403685536259</v>
      </c>
      <c r="G25" s="152"/>
      <c r="H25" s="173" t="s">
        <v>6</v>
      </c>
      <c r="I25" s="174">
        <f>I12/I9</f>
        <v>0.10991006206983912</v>
      </c>
      <c r="J25" s="152"/>
      <c r="K25" s="173" t="s">
        <v>6</v>
      </c>
      <c r="L25" s="174">
        <f>L12/L9</f>
        <v>0.27387460742119346</v>
      </c>
      <c r="M25" s="152"/>
      <c r="N25" s="173" t="s">
        <v>6</v>
      </c>
      <c r="O25" s="174">
        <f>O12/O9</f>
        <v>0.12021414530093269</v>
      </c>
      <c r="P25" s="152"/>
      <c r="Q25" s="173" t="s">
        <v>6</v>
      </c>
      <c r="R25" s="174">
        <f>R12/R9</f>
        <v>9.6954224306833703E-2</v>
      </c>
      <c r="S25" s="152"/>
      <c r="T25" s="173" t="s">
        <v>6</v>
      </c>
      <c r="U25" s="174">
        <f>U12/U9</f>
        <v>0.10658590266935045</v>
      </c>
      <c r="V25" s="152"/>
      <c r="W25" s="173" t="s">
        <v>6</v>
      </c>
      <c r="X25" s="174">
        <f>X12/X9</f>
        <v>0.10013646945492495</v>
      </c>
      <c r="Y25" s="152"/>
      <c r="Z25" s="173" t="s">
        <v>6</v>
      </c>
      <c r="AA25" s="174">
        <f>AA12/AA9</f>
        <v>0.10726575026573225</v>
      </c>
      <c r="AB25" s="152"/>
      <c r="AC25" s="173" t="s">
        <v>6</v>
      </c>
      <c r="AD25" s="174" t="e">
        <f>AD12/AD9</f>
        <v>#DIV/0!</v>
      </c>
      <c r="AE25" s="152"/>
      <c r="AF25" s="173" t="s">
        <v>6</v>
      </c>
      <c r="AG25" s="174" t="e">
        <f>AG12/AG9</f>
        <v>#DIV/0!</v>
      </c>
      <c r="AI25" s="173" t="s">
        <v>6</v>
      </c>
      <c r="AJ25" s="174" t="e">
        <f>AJ12/AJ9</f>
        <v>#DIV/0!</v>
      </c>
    </row>
    <row r="26" spans="2:36" x14ac:dyDescent="0.25">
      <c r="B26" s="173" t="s">
        <v>10</v>
      </c>
      <c r="C26" s="174">
        <f>C13/C9</f>
        <v>0.23665246833709538</v>
      </c>
      <c r="E26" s="173" t="s">
        <v>10</v>
      </c>
      <c r="F26" s="174">
        <f>F13/F9</f>
        <v>7.3710725175659547E-2</v>
      </c>
      <c r="G26" s="152"/>
      <c r="H26" s="173" t="s">
        <v>10</v>
      </c>
      <c r="I26" s="174">
        <f>I13/I9</f>
        <v>6.050753705189376E-2</v>
      </c>
      <c r="J26" s="152"/>
      <c r="K26" s="173" t="s">
        <v>10</v>
      </c>
      <c r="L26" s="174">
        <f>L13/L9</f>
        <v>0.15179713853669885</v>
      </c>
      <c r="M26" s="152"/>
      <c r="N26" s="173" t="s">
        <v>10</v>
      </c>
      <c r="O26" s="174">
        <f>O13/O9</f>
        <v>0.10383955832531681</v>
      </c>
      <c r="P26" s="152"/>
      <c r="Q26" s="173" t="s">
        <v>10</v>
      </c>
      <c r="R26" s="174">
        <f>R13/R9</f>
        <v>8.0359793385976375E-2</v>
      </c>
      <c r="S26" s="152"/>
      <c r="T26" s="173" t="s">
        <v>10</v>
      </c>
      <c r="U26" s="174">
        <f>U13/U9</f>
        <v>5.5042419910081089E-2</v>
      </c>
      <c r="V26" s="152"/>
      <c r="W26" s="173" t="s">
        <v>10</v>
      </c>
      <c r="X26" s="174">
        <f>X13/X9</f>
        <v>5.8713976077707314E-2</v>
      </c>
      <c r="Y26" s="152"/>
      <c r="Z26" s="173" t="s">
        <v>10</v>
      </c>
      <c r="AA26" s="174">
        <f>AA13/AA9</f>
        <v>8.6475579656619894E-2</v>
      </c>
      <c r="AB26" s="152"/>
      <c r="AC26" s="173" t="s">
        <v>10</v>
      </c>
      <c r="AD26" s="174" t="e">
        <f>AD13/AD9</f>
        <v>#DIV/0!</v>
      </c>
      <c r="AE26" s="152"/>
      <c r="AF26" s="173" t="s">
        <v>10</v>
      </c>
      <c r="AG26" s="174" t="e">
        <f>AG13/AG9</f>
        <v>#DIV/0!</v>
      </c>
      <c r="AI26" s="173" t="s">
        <v>10</v>
      </c>
      <c r="AJ26" s="174" t="e">
        <f>AJ13/AJ9</f>
        <v>#DIV/0!</v>
      </c>
    </row>
    <row r="27" spans="2:36" x14ac:dyDescent="0.25">
      <c r="B27" s="173" t="s">
        <v>108</v>
      </c>
      <c r="C27" s="174">
        <f>C14/C9</f>
        <v>0.21464663159584815</v>
      </c>
      <c r="E27" s="173" t="s">
        <v>108</v>
      </c>
      <c r="F27" s="174">
        <f>F14/F9</f>
        <v>9.8501922312077425E-2</v>
      </c>
      <c r="G27" s="152"/>
      <c r="H27" s="173" t="s">
        <v>108</v>
      </c>
      <c r="I27" s="174">
        <f>I14/I9</f>
        <v>0.1161170459823502</v>
      </c>
      <c r="J27" s="152"/>
      <c r="K27" s="173" t="s">
        <v>108</v>
      </c>
      <c r="L27" s="174">
        <f>L14/L9</f>
        <v>0.24252646271955333</v>
      </c>
      <c r="M27" s="152"/>
      <c r="N27" s="173" t="s">
        <v>108</v>
      </c>
      <c r="O27" s="174">
        <f>O14/O9</f>
        <v>0.12242251871680121</v>
      </c>
      <c r="P27" s="152"/>
      <c r="Q27" s="173" t="s">
        <v>108</v>
      </c>
      <c r="R27" s="174">
        <f>R14/R9</f>
        <v>0.14575788161253933</v>
      </c>
      <c r="S27" s="152"/>
      <c r="T27" s="173" t="s">
        <v>108</v>
      </c>
      <c r="U27" s="174">
        <f>U14/U9</f>
        <v>6.9602513215071774E-4</v>
      </c>
      <c r="V27" s="152"/>
      <c r="W27" s="173" t="s">
        <v>108</v>
      </c>
      <c r="X27" s="174">
        <f>X14/X9</f>
        <v>6.8234727462470904E-2</v>
      </c>
      <c r="Y27" s="152"/>
      <c r="Z27" s="173" t="s">
        <v>108</v>
      </c>
      <c r="AA27" s="174">
        <f>AA14/AA9</f>
        <v>9.0583169690309329E-2</v>
      </c>
      <c r="AB27" s="152"/>
      <c r="AC27" s="173" t="s">
        <v>108</v>
      </c>
      <c r="AD27" s="174" t="e">
        <f>AD14/AD9</f>
        <v>#DIV/0!</v>
      </c>
      <c r="AE27" s="152"/>
      <c r="AF27" s="173" t="s">
        <v>108</v>
      </c>
      <c r="AG27" s="174" t="e">
        <f>AG14/AG9</f>
        <v>#DIV/0!</v>
      </c>
      <c r="AI27" s="173" t="s">
        <v>108</v>
      </c>
      <c r="AJ27" s="174" t="e">
        <f>AJ14/AJ9</f>
        <v>#DIV/0!</v>
      </c>
    </row>
    <row r="28" spans="2:36" ht="15.75" thickBot="1" x14ac:dyDescent="0.3">
      <c r="B28" s="175" t="s">
        <v>109</v>
      </c>
      <c r="C28" s="176">
        <f>C15/C9</f>
        <v>0.14955468875435629</v>
      </c>
      <c r="E28" s="175" t="s">
        <v>109</v>
      </c>
      <c r="F28" s="176">
        <f>F15/F9</f>
        <v>6.8871801670422908E-2</v>
      </c>
      <c r="G28" s="152"/>
      <c r="H28" s="175" t="s">
        <v>109</v>
      </c>
      <c r="I28" s="176">
        <f>I15/I9</f>
        <v>9.6271587214457624E-2</v>
      </c>
      <c r="J28" s="152"/>
      <c r="K28" s="175" t="s">
        <v>109</v>
      </c>
      <c r="L28" s="176">
        <f>L15/L9</f>
        <v>5.0075607770152381E-2</v>
      </c>
      <c r="M28" s="152"/>
      <c r="N28" s="175" t="s">
        <v>109</v>
      </c>
      <c r="O28" s="176">
        <f>O15/O9</f>
        <v>0.11106696223179556</v>
      </c>
      <c r="P28" s="152"/>
      <c r="Q28" s="175" t="s">
        <v>109</v>
      </c>
      <c r="R28" s="176">
        <f>R15/R9</f>
        <v>0.12800569969720357</v>
      </c>
      <c r="S28" s="152"/>
      <c r="T28" s="175" t="s">
        <v>109</v>
      </c>
      <c r="U28" s="177">
        <f>U15/U9</f>
        <v>-2.8913260219341975E-2</v>
      </c>
      <c r="V28" s="152"/>
      <c r="W28" s="175" t="s">
        <v>109</v>
      </c>
      <c r="X28" s="177">
        <f>X15/X9</f>
        <v>3.9656418078188968E-2</v>
      </c>
      <c r="Y28" s="152"/>
      <c r="Z28" s="175" t="s">
        <v>109</v>
      </c>
      <c r="AA28" s="177">
        <f>AA15/AA9</f>
        <v>5.7704433675031981E-2</v>
      </c>
      <c r="AB28" s="152"/>
      <c r="AC28" s="175" t="s">
        <v>109</v>
      </c>
      <c r="AD28" s="177" t="e">
        <f>AD15/AD9</f>
        <v>#DIV/0!</v>
      </c>
      <c r="AE28" s="152"/>
      <c r="AF28" s="175" t="s">
        <v>109</v>
      </c>
      <c r="AG28" s="177" t="e">
        <f>AG15/AG9</f>
        <v>#DIV/0!</v>
      </c>
      <c r="AI28" s="175" t="s">
        <v>109</v>
      </c>
      <c r="AJ28" s="177" t="e">
        <f>AJ15/AJ9</f>
        <v>#DIV/0!</v>
      </c>
    </row>
    <row r="29" spans="2:36" ht="15.75" thickBot="1" x14ac:dyDescent="0.3">
      <c r="Q29" s="190"/>
      <c r="AG29" s="178"/>
    </row>
    <row r="30" spans="2:36" ht="15.75" thickBot="1" x14ac:dyDescent="0.3">
      <c r="B30" s="188" t="s">
        <v>110</v>
      </c>
      <c r="C30" s="189">
        <f>C17/(C17+C18)</f>
        <v>0</v>
      </c>
      <c r="E30" s="188" t="s">
        <v>110</v>
      </c>
      <c r="F30" s="189">
        <f>F17/(F17+F18)</f>
        <v>0</v>
      </c>
      <c r="H30" s="188" t="s">
        <v>110</v>
      </c>
      <c r="I30" s="189">
        <f>I17/(I17+I18)</f>
        <v>0</v>
      </c>
      <c r="K30" s="188" t="s">
        <v>110</v>
      </c>
      <c r="L30" s="189">
        <f>L17/(L17+L18)</f>
        <v>0</v>
      </c>
      <c r="N30" s="188" t="s">
        <v>110</v>
      </c>
      <c r="O30" s="189">
        <f>O17/(O17+O18)</f>
        <v>0</v>
      </c>
      <c r="Q30" s="188" t="s">
        <v>110</v>
      </c>
      <c r="R30" s="189">
        <f>R17/(R17+R18)</f>
        <v>8.4060665140214458E-2</v>
      </c>
      <c r="T30" s="188" t="s">
        <v>110</v>
      </c>
      <c r="U30" s="189">
        <f>U17/(U17+U18)</f>
        <v>0</v>
      </c>
      <c r="W30" s="188" t="s">
        <v>110</v>
      </c>
      <c r="X30" s="189">
        <f>X17/(X17+X18)</f>
        <v>0</v>
      </c>
      <c r="Z30" s="188" t="s">
        <v>110</v>
      </c>
      <c r="AA30" s="189">
        <f>AA17/(AA17+AA18)</f>
        <v>0</v>
      </c>
      <c r="AC30" s="188" t="s">
        <v>110</v>
      </c>
      <c r="AD30" s="189" t="e">
        <f>AD17/(AD17+AD18)</f>
        <v>#DIV/0!</v>
      </c>
      <c r="AF30" s="188" t="s">
        <v>110</v>
      </c>
      <c r="AG30" s="189" t="e">
        <f>AG17/(AG17+AG18)</f>
        <v>#DIV/0!</v>
      </c>
      <c r="AI30" s="188" t="s">
        <v>110</v>
      </c>
      <c r="AJ30" s="189" t="e">
        <f>AJ17/(AJ17+AJ18)</f>
        <v>#DIV/0!</v>
      </c>
    </row>
    <row r="34" spans="2:2" x14ac:dyDescent="0.25">
      <c r="B34" s="142"/>
    </row>
    <row r="36" spans="2:2" ht="15" customHeight="1" x14ac:dyDescent="0.25"/>
    <row r="61" spans="27:27" x14ac:dyDescent="0.25">
      <c r="AA61" s="179"/>
    </row>
  </sheetData>
  <mergeCells count="15">
    <mergeCell ref="B1:AV1"/>
    <mergeCell ref="B3:C3"/>
    <mergeCell ref="E3:F3"/>
    <mergeCell ref="H3:I3"/>
    <mergeCell ref="K3:L3"/>
    <mergeCell ref="N3:O3"/>
    <mergeCell ref="Q3:R3"/>
    <mergeCell ref="T3:U3"/>
    <mergeCell ref="W3:X3"/>
    <mergeCell ref="Z3:AA3"/>
    <mergeCell ref="D12:D13"/>
    <mergeCell ref="AC3:AD3"/>
    <mergeCell ref="AF3:AG3"/>
    <mergeCell ref="AI3:AJ3"/>
    <mergeCell ref="B5:C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9C9E-B5D5-4F54-87C4-7DFCF6F388E2}">
  <sheetPr>
    <tabColor rgb="FF002060"/>
  </sheetPr>
  <dimension ref="B1:P53"/>
  <sheetViews>
    <sheetView zoomScale="125" zoomScaleNormal="85" workbookViewId="0">
      <selection activeCell="K14" sqref="K14"/>
    </sheetView>
  </sheetViews>
  <sheetFormatPr defaultColWidth="10" defaultRowHeight="15" x14ac:dyDescent="0.25"/>
  <cols>
    <col min="1" max="1" width="10" style="25"/>
    <col min="2" max="2" width="19.140625" style="25" customWidth="1"/>
    <col min="3" max="16384" width="10" style="25"/>
  </cols>
  <sheetData>
    <row r="1" spans="2:16" ht="45" x14ac:dyDescent="0.6">
      <c r="B1" s="457" t="s">
        <v>111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2:16" x14ac:dyDescent="0.2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2:16" ht="15.75" thickBot="1" x14ac:dyDescent="0.3">
      <c r="B3" s="192" t="s">
        <v>112</v>
      </c>
      <c r="C3" s="193" t="str">
        <f>'Comps Data'!B4</f>
        <v>LULU</v>
      </c>
      <c r="D3" s="194" t="str">
        <f>'Comps Data'!F4</f>
        <v>GAP</v>
      </c>
      <c r="E3" s="194" t="str">
        <f>'Comps Data'!I4</f>
        <v>ADS GY</v>
      </c>
      <c r="F3" s="194" t="str">
        <f>'Comps Data'!L4</f>
        <v>Kering SA</v>
      </c>
      <c r="G3" s="194" t="str">
        <f>'Comps Data'!O4</f>
        <v>NKE US</v>
      </c>
      <c r="H3" s="194" t="str">
        <f>'Comps Data'!R4</f>
        <v>COLM US</v>
      </c>
      <c r="I3" s="194" t="str">
        <f>'Comps Data'!U4</f>
        <v>UAA US</v>
      </c>
      <c r="J3" s="194" t="str">
        <f>'Comps Data'!X4</f>
        <v>VSCO US</v>
      </c>
      <c r="K3" s="194" t="str">
        <f>'Comps Data'!AA4</f>
        <v>URBN US</v>
      </c>
      <c r="L3" s="194"/>
      <c r="M3" s="194"/>
      <c r="N3" s="194"/>
      <c r="O3" s="130"/>
      <c r="P3" s="2"/>
    </row>
    <row r="4" spans="2:16" x14ac:dyDescent="0.25">
      <c r="B4" s="195" t="s">
        <v>106</v>
      </c>
      <c r="C4" s="196">
        <f>'Comps Data'!C23</f>
        <v>6.5154898238045864E-2</v>
      </c>
      <c r="D4" s="197">
        <f>'Comps Data'!F23</f>
        <v>1.1836166941115054E-2</v>
      </c>
      <c r="E4" s="197">
        <f>'Comps Data'!I23</f>
        <v>0.10039268673732203</v>
      </c>
      <c r="F4" s="197">
        <f>'Comps Data'!L23</f>
        <v>-3.6873327905083089E-2</v>
      </c>
      <c r="G4" s="197">
        <f>'Comps Data'!O23</f>
        <v>-3.7782732252192149E-2</v>
      </c>
      <c r="H4" s="197">
        <f>'Comps Data'!R23</f>
        <v>2.0483286825387276E-2</v>
      </c>
      <c r="I4" s="197">
        <f>'Comps Data'!U23</f>
        <v>-2.6030060117129949E-2</v>
      </c>
      <c r="J4" s="197">
        <f>'Comps Data'!X23</f>
        <v>2.066923844310183E-3</v>
      </c>
      <c r="K4" s="197">
        <f>'Comps Data'!AA23</f>
        <v>6.410002342046961E-2</v>
      </c>
      <c r="L4" s="197"/>
      <c r="M4" s="197"/>
      <c r="N4" s="197"/>
      <c r="O4" s="130"/>
    </row>
    <row r="5" spans="2:16" x14ac:dyDescent="0.25">
      <c r="B5" s="198" t="s">
        <v>107</v>
      </c>
      <c r="C5" s="199">
        <f>'Comps Data'!C24</f>
        <v>0.59224978985842591</v>
      </c>
      <c r="D5" s="200">
        <f>'Comps Data'!F24</f>
        <v>0.41276680365902163</v>
      </c>
      <c r="E5" s="200">
        <f>'Comps Data'!I24</f>
        <v>0.5077481737955496</v>
      </c>
      <c r="F5" s="200">
        <f>'Comps Data'!L24</f>
        <v>0.73752471792485752</v>
      </c>
      <c r="G5" s="200">
        <f>'Comps Data'!O24</f>
        <v>0.43822409971140575</v>
      </c>
      <c r="H5" s="200">
        <f>'Comps Data'!R24</f>
        <v>0.5020186427596034</v>
      </c>
      <c r="I5" s="200">
        <f>'Comps Data'!U24</f>
        <v>0.4747267631069057</v>
      </c>
      <c r="J5" s="200">
        <f>'Comps Data'!X24</f>
        <v>0.36660512161836722</v>
      </c>
      <c r="K5" s="200">
        <f>'Comps Data'!AA24</f>
        <v>0.34793809789756247</v>
      </c>
      <c r="L5" s="200"/>
      <c r="M5" s="200"/>
      <c r="N5" s="200"/>
      <c r="O5" s="130"/>
    </row>
    <row r="6" spans="2:16" x14ac:dyDescent="0.25">
      <c r="B6" s="198" t="s">
        <v>6</v>
      </c>
      <c r="C6" s="199">
        <f>'Comps Data'!C25</f>
        <v>0.27882245162021513</v>
      </c>
      <c r="D6" s="200">
        <f>'Comps Data'!F25</f>
        <v>0.10685403685536259</v>
      </c>
      <c r="E6" s="200">
        <f>'Comps Data'!I25</f>
        <v>0.10991006206983912</v>
      </c>
      <c r="F6" s="200">
        <f>'Comps Data'!L25</f>
        <v>0.27387460742119346</v>
      </c>
      <c r="G6" s="200">
        <f>'Comps Data'!O25</f>
        <v>0.12021414530093269</v>
      </c>
      <c r="H6" s="200">
        <f>'Comps Data'!R25</f>
        <v>9.6954224306833703E-2</v>
      </c>
      <c r="I6" s="200">
        <f>'Comps Data'!U25</f>
        <v>0.10658590266935045</v>
      </c>
      <c r="J6" s="200">
        <f>'Comps Data'!X25</f>
        <v>0.10013646945492495</v>
      </c>
      <c r="K6" s="200">
        <f>'Comps Data'!AA25</f>
        <v>0.10726575026573225</v>
      </c>
      <c r="L6" s="200"/>
      <c r="M6" s="200"/>
      <c r="N6" s="200"/>
      <c r="O6" s="130"/>
    </row>
    <row r="7" spans="2:16" x14ac:dyDescent="0.25">
      <c r="B7" s="198" t="s">
        <v>10</v>
      </c>
      <c r="C7" s="199">
        <f>'Comps Data'!C26</f>
        <v>0.23665246833709538</v>
      </c>
      <c r="D7" s="200">
        <f>'Comps Data'!F26</f>
        <v>7.3710725175659547E-2</v>
      </c>
      <c r="E7" s="200">
        <f>'Comps Data'!I26</f>
        <v>6.050753705189376E-2</v>
      </c>
      <c r="F7" s="200">
        <f>'Comps Data'!L26</f>
        <v>0.15179713853669885</v>
      </c>
      <c r="G7" s="200">
        <f>'Comps Data'!O26</f>
        <v>0.10383955832531681</v>
      </c>
      <c r="H7" s="200">
        <f>'Comps Data'!R26</f>
        <v>8.0359793385976375E-2</v>
      </c>
      <c r="I7" s="200">
        <f>'Comps Data'!U26</f>
        <v>5.5042419910081089E-2</v>
      </c>
      <c r="J7" s="200">
        <f>'Comps Data'!X26</f>
        <v>5.8713976077707314E-2</v>
      </c>
      <c r="K7" s="200">
        <f>'Comps Data'!AA26</f>
        <v>8.6475579656619894E-2</v>
      </c>
      <c r="L7" s="200"/>
      <c r="M7" s="200"/>
      <c r="N7" s="200"/>
      <c r="O7" s="130"/>
    </row>
    <row r="8" spans="2:16" x14ac:dyDescent="0.25">
      <c r="B8" s="198" t="s">
        <v>108</v>
      </c>
      <c r="C8" s="199">
        <f>'Comps Data'!C27</f>
        <v>0.21464663159584815</v>
      </c>
      <c r="D8" s="200">
        <f>'Comps Data'!F27</f>
        <v>9.8501922312077425E-2</v>
      </c>
      <c r="E8" s="200">
        <f>'Comps Data'!I27</f>
        <v>0.1161170459823502</v>
      </c>
      <c r="F8" s="200">
        <f>'Comps Data'!L27</f>
        <v>0.24252646271955333</v>
      </c>
      <c r="G8" s="200">
        <f>'Comps Data'!O27</f>
        <v>0.12242251871680121</v>
      </c>
      <c r="H8" s="200">
        <f>'Comps Data'!R27</f>
        <v>0.14575788161253933</v>
      </c>
      <c r="I8" s="200">
        <f>'Comps Data'!U27</f>
        <v>6.9602513215071774E-4</v>
      </c>
      <c r="J8" s="200">
        <f>'Comps Data'!X27</f>
        <v>6.8234727462470904E-2</v>
      </c>
      <c r="K8" s="200">
        <f>'Comps Data'!AA27</f>
        <v>9.0583169690309329E-2</v>
      </c>
      <c r="L8" s="200"/>
      <c r="M8" s="200"/>
      <c r="N8" s="200"/>
      <c r="O8" s="130"/>
    </row>
    <row r="9" spans="2:16" ht="15.75" thickBot="1" x14ac:dyDescent="0.3">
      <c r="B9" s="201" t="s">
        <v>109</v>
      </c>
      <c r="C9" s="202">
        <f>'Comps Data'!C28</f>
        <v>0.14955468875435629</v>
      </c>
      <c r="D9" s="203">
        <f>'Comps Data'!F28</f>
        <v>6.8871801670422908E-2</v>
      </c>
      <c r="E9" s="203">
        <f>'Comps Data'!I28</f>
        <v>9.6271587214457624E-2</v>
      </c>
      <c r="F9" s="203">
        <f>'Comps Data'!L28</f>
        <v>5.0075607770152381E-2</v>
      </c>
      <c r="G9" s="203">
        <f>'Comps Data'!O28</f>
        <v>0.11106696223179556</v>
      </c>
      <c r="H9" s="203">
        <f>'Comps Data'!R28</f>
        <v>0.12800569969720357</v>
      </c>
      <c r="I9" s="203">
        <f>'Comps Data'!U28</f>
        <v>-2.8913260219341975E-2</v>
      </c>
      <c r="J9" s="203">
        <f>'Comps Data'!X28</f>
        <v>3.9656418078188968E-2</v>
      </c>
      <c r="K9" s="203">
        <f>'Comps Data'!AA28</f>
        <v>5.7704433675031981E-2</v>
      </c>
      <c r="L9" s="203"/>
      <c r="M9" s="203"/>
      <c r="N9" s="203"/>
      <c r="O9" s="130"/>
    </row>
    <row r="10" spans="2:16" ht="15.75" thickBot="1" x14ac:dyDescent="0.3">
      <c r="B10" s="221"/>
      <c r="C10" s="22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6" ht="15.75" thickBot="1" x14ac:dyDescent="0.3">
      <c r="B11" s="228" t="s">
        <v>113</v>
      </c>
      <c r="C11" s="225">
        <f>'Comps Data'!C30</f>
        <v>0</v>
      </c>
      <c r="D11" s="226">
        <f>'Comps Data'!F30</f>
        <v>0</v>
      </c>
      <c r="E11" s="226">
        <f>'Comps Data'!I30</f>
        <v>0</v>
      </c>
      <c r="F11" s="226">
        <f>'Comps Data'!L30</f>
        <v>0</v>
      </c>
      <c r="G11" s="226">
        <f>'Comps Data'!O30</f>
        <v>0</v>
      </c>
      <c r="H11" s="226">
        <f>'Comps Data'!R30</f>
        <v>8.4060665140214458E-2</v>
      </c>
      <c r="I11" s="226">
        <f>'Comps Data'!U30</f>
        <v>0</v>
      </c>
      <c r="J11" s="226">
        <f>'Comps Data'!AA30</f>
        <v>0</v>
      </c>
      <c r="K11" s="226">
        <f>'Comps Data'!AA30</f>
        <v>0</v>
      </c>
      <c r="L11" s="226" t="e">
        <f>'Comps Data'!AD30</f>
        <v>#DIV/0!</v>
      </c>
      <c r="M11" s="226" t="e">
        <f>'Comps Data'!AG30</f>
        <v>#DIV/0!</v>
      </c>
      <c r="N11" s="227" t="e">
        <f>'Comps Data'!AJ30</f>
        <v>#DIV/0!</v>
      </c>
    </row>
    <row r="12" spans="2:16" x14ac:dyDescent="0.25"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</row>
    <row r="13" spans="2:16" x14ac:dyDescent="0.25">
      <c r="B13" s="204" t="s">
        <v>112</v>
      </c>
      <c r="C13" s="205" t="s">
        <v>194</v>
      </c>
      <c r="D13" s="194" t="s">
        <v>195</v>
      </c>
      <c r="E13" s="194" t="s">
        <v>187</v>
      </c>
      <c r="F13" s="194" t="s">
        <v>189</v>
      </c>
      <c r="G13" s="194" t="s">
        <v>182</v>
      </c>
      <c r="H13" s="194" t="s">
        <v>185</v>
      </c>
      <c r="I13" s="194" t="s">
        <v>191</v>
      </c>
      <c r="J13" s="399" t="s">
        <v>28</v>
      </c>
      <c r="K13" s="194" t="s">
        <v>184</v>
      </c>
      <c r="L13" s="194"/>
      <c r="M13" s="194"/>
      <c r="N13" s="218"/>
    </row>
    <row r="14" spans="2:16" ht="15.75" thickBot="1" x14ac:dyDescent="0.3">
      <c r="B14" s="206" t="s">
        <v>106</v>
      </c>
      <c r="C14" s="207">
        <f t="shared" ref="C14:K14" si="0">IFERROR(INDEX($C$4:$N$9,MATCH($B14,$B$4:$B$9,0),MATCH(C13,$C$3:$N$3,0)),"")</f>
        <v>-3.7782732252192149E-2</v>
      </c>
      <c r="D14" s="207">
        <f t="shared" si="0"/>
        <v>-3.6873327905083089E-2</v>
      </c>
      <c r="E14" s="207">
        <f t="shared" si="0"/>
        <v>-2.6030060117129949E-2</v>
      </c>
      <c r="F14" s="207">
        <f t="shared" si="0"/>
        <v>2.066923844310183E-3</v>
      </c>
      <c r="G14" s="207">
        <f t="shared" si="0"/>
        <v>1.1836166941115054E-2</v>
      </c>
      <c r="H14" s="207">
        <f t="shared" si="0"/>
        <v>2.0483286825387276E-2</v>
      </c>
      <c r="I14" s="207">
        <f t="shared" si="0"/>
        <v>6.410002342046961E-2</v>
      </c>
      <c r="J14" s="400">
        <f t="shared" si="0"/>
        <v>6.5154898238045864E-2</v>
      </c>
      <c r="K14" s="207">
        <f t="shared" si="0"/>
        <v>0.10039268673732203</v>
      </c>
      <c r="L14" s="207"/>
      <c r="M14" s="207"/>
      <c r="N14" s="219"/>
    </row>
    <row r="15" spans="2:16" x14ac:dyDescent="0.25">
      <c r="B15" s="191"/>
      <c r="C15" s="191"/>
      <c r="D15" s="191"/>
      <c r="E15" s="208"/>
      <c r="F15" s="208"/>
      <c r="G15" s="208"/>
      <c r="H15" s="208"/>
      <c r="I15" s="208"/>
      <c r="J15" s="208"/>
      <c r="K15" s="208"/>
      <c r="L15" s="208"/>
      <c r="M15" s="208"/>
      <c r="N15" s="208"/>
    </row>
    <row r="16" spans="2:16" x14ac:dyDescent="0.25">
      <c r="B16" s="209" t="s">
        <v>112</v>
      </c>
      <c r="C16" s="205" t="s">
        <v>191</v>
      </c>
      <c r="D16" s="194" t="s">
        <v>189</v>
      </c>
      <c r="E16" s="194" t="s">
        <v>182</v>
      </c>
      <c r="F16" s="194" t="s">
        <v>194</v>
      </c>
      <c r="G16" s="194" t="s">
        <v>187</v>
      </c>
      <c r="H16" s="194" t="s">
        <v>185</v>
      </c>
      <c r="I16" s="194" t="s">
        <v>184</v>
      </c>
      <c r="J16" s="399" t="s">
        <v>28</v>
      </c>
      <c r="K16" s="194" t="s">
        <v>195</v>
      </c>
      <c r="L16" s="194"/>
      <c r="M16" s="194"/>
      <c r="N16" s="218"/>
    </row>
    <row r="17" spans="2:15" ht="15.75" thickBot="1" x14ac:dyDescent="0.3">
      <c r="B17" s="206" t="s">
        <v>107</v>
      </c>
      <c r="C17" s="313">
        <f t="shared" ref="C17:K17" si="1">IFERROR(INDEX($C$4:$N$9,MATCH($B17,$B$4:$B$9,0),MATCH(C16,$C$3:$N$3,0)),"")</f>
        <v>0.34793809789756247</v>
      </c>
      <c r="D17" s="207">
        <f t="shared" si="1"/>
        <v>0.36660512161836722</v>
      </c>
      <c r="E17" s="229">
        <f t="shared" si="1"/>
        <v>0.41276680365902163</v>
      </c>
      <c r="F17" s="313">
        <f t="shared" si="1"/>
        <v>0.43822409971140575</v>
      </c>
      <c r="G17" s="313">
        <f t="shared" si="1"/>
        <v>0.4747267631069057</v>
      </c>
      <c r="H17" s="313">
        <f t="shared" si="1"/>
        <v>0.5020186427596034</v>
      </c>
      <c r="I17" s="207">
        <f t="shared" si="1"/>
        <v>0.5077481737955496</v>
      </c>
      <c r="J17" s="401">
        <f t="shared" si="1"/>
        <v>0.59224978985842591</v>
      </c>
      <c r="K17" s="229">
        <f t="shared" si="1"/>
        <v>0.73752471792485752</v>
      </c>
      <c r="L17" s="313"/>
      <c r="M17" s="207"/>
      <c r="N17" s="219"/>
    </row>
    <row r="18" spans="2:15" x14ac:dyDescent="0.25">
      <c r="B18" s="191"/>
      <c r="C18" s="191"/>
      <c r="D18" s="191"/>
      <c r="E18" s="191"/>
      <c r="F18" s="191"/>
      <c r="G18" s="210"/>
      <c r="H18" s="191"/>
      <c r="I18" s="191"/>
      <c r="J18" s="211"/>
      <c r="K18" s="191"/>
      <c r="L18" s="191"/>
      <c r="M18" s="191"/>
      <c r="N18" s="191"/>
    </row>
    <row r="19" spans="2:15" x14ac:dyDescent="0.25">
      <c r="B19" s="212" t="s">
        <v>112</v>
      </c>
      <c r="C19" s="205" t="s">
        <v>185</v>
      </c>
      <c r="D19" s="194" t="s">
        <v>189</v>
      </c>
      <c r="E19" s="194" t="s">
        <v>187</v>
      </c>
      <c r="F19" s="194" t="s">
        <v>182</v>
      </c>
      <c r="G19" s="194" t="s">
        <v>191</v>
      </c>
      <c r="H19" s="194" t="s">
        <v>184</v>
      </c>
      <c r="I19" s="194" t="s">
        <v>194</v>
      </c>
      <c r="J19" s="194" t="s">
        <v>195</v>
      </c>
      <c r="K19" s="399" t="s">
        <v>28</v>
      </c>
      <c r="L19" s="194"/>
      <c r="M19" s="194"/>
      <c r="N19" s="218"/>
      <c r="O19" s="341"/>
    </row>
    <row r="20" spans="2:15" ht="15.75" thickBot="1" x14ac:dyDescent="0.3">
      <c r="B20" s="206" t="s">
        <v>6</v>
      </c>
      <c r="C20" s="207">
        <f t="shared" ref="C20:K20" si="2">IFERROR(INDEX($C$4:$N$9,MATCH($B20,$B$4:$B$9,0),MATCH(C19,$C$3:$N$3,0)),"")</f>
        <v>9.6954224306833703E-2</v>
      </c>
      <c r="D20" s="313">
        <f t="shared" si="2"/>
        <v>0.10013646945492495</v>
      </c>
      <c r="E20" s="313">
        <f t="shared" si="2"/>
        <v>0.10658590266935045</v>
      </c>
      <c r="F20" s="207">
        <f t="shared" si="2"/>
        <v>0.10685403685536259</v>
      </c>
      <c r="G20" s="313">
        <f t="shared" si="2"/>
        <v>0.10726575026573225</v>
      </c>
      <c r="H20" s="313">
        <f t="shared" si="2"/>
        <v>0.10991006206983912</v>
      </c>
      <c r="I20" s="207">
        <f t="shared" si="2"/>
        <v>0.12021414530093269</v>
      </c>
      <c r="J20" s="313">
        <f t="shared" si="2"/>
        <v>0.27387460742119346</v>
      </c>
      <c r="K20" s="401">
        <f t="shared" si="2"/>
        <v>0.27882245162021513</v>
      </c>
      <c r="L20" s="207"/>
      <c r="M20" s="207"/>
      <c r="N20" s="379"/>
    </row>
    <row r="21" spans="2:15" x14ac:dyDescent="0.25"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</row>
    <row r="22" spans="2:15" x14ac:dyDescent="0.25">
      <c r="B22" s="212" t="s">
        <v>112</v>
      </c>
      <c r="C22" s="205" t="s">
        <v>187</v>
      </c>
      <c r="D22" s="194" t="s">
        <v>189</v>
      </c>
      <c r="E22" s="194" t="s">
        <v>184</v>
      </c>
      <c r="F22" s="194" t="s">
        <v>182</v>
      </c>
      <c r="G22" s="194" t="s">
        <v>185</v>
      </c>
      <c r="H22" s="194" t="s">
        <v>191</v>
      </c>
      <c r="I22" s="194" t="s">
        <v>194</v>
      </c>
      <c r="J22" s="194" t="s">
        <v>195</v>
      </c>
      <c r="K22" s="399" t="s">
        <v>28</v>
      </c>
      <c r="L22" s="194"/>
      <c r="M22" s="194"/>
      <c r="N22" s="218"/>
    </row>
    <row r="23" spans="2:15" ht="15.75" thickBot="1" x14ac:dyDescent="0.3">
      <c r="B23" s="206" t="s">
        <v>10</v>
      </c>
      <c r="C23" s="207">
        <f t="shared" ref="C23:K23" si="3">IFERROR(INDEX($C$4:$N$9,MATCH($B23,$B$4:$B$9,0),MATCH(C22,$C$3:$N$3,0)),"")</f>
        <v>5.5042419910081089E-2</v>
      </c>
      <c r="D23" s="207">
        <f t="shared" si="3"/>
        <v>5.8713976077707314E-2</v>
      </c>
      <c r="E23" s="207">
        <f t="shared" si="3"/>
        <v>6.050753705189376E-2</v>
      </c>
      <c r="F23" s="207">
        <f t="shared" si="3"/>
        <v>7.3710725175659547E-2</v>
      </c>
      <c r="G23" s="207">
        <f t="shared" si="3"/>
        <v>8.0359793385976375E-2</v>
      </c>
      <c r="H23" s="207">
        <f t="shared" si="3"/>
        <v>8.6475579656619894E-2</v>
      </c>
      <c r="I23" s="207">
        <f t="shared" si="3"/>
        <v>0.10383955832531681</v>
      </c>
      <c r="J23" s="207">
        <f t="shared" si="3"/>
        <v>0.15179713853669885</v>
      </c>
      <c r="K23" s="400">
        <f t="shared" si="3"/>
        <v>0.23665246833709538</v>
      </c>
      <c r="L23" s="207"/>
      <c r="M23" s="207"/>
      <c r="N23" s="219"/>
    </row>
    <row r="24" spans="2:15" x14ac:dyDescent="0.25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</row>
    <row r="25" spans="2:15" x14ac:dyDescent="0.25">
      <c r="B25" s="212" t="s">
        <v>112</v>
      </c>
      <c r="C25" s="205" t="s">
        <v>187</v>
      </c>
      <c r="D25" s="194" t="s">
        <v>189</v>
      </c>
      <c r="E25" s="194" t="s">
        <v>191</v>
      </c>
      <c r="F25" s="194" t="s">
        <v>182</v>
      </c>
      <c r="G25" s="194" t="s">
        <v>184</v>
      </c>
      <c r="H25" s="194" t="s">
        <v>194</v>
      </c>
      <c r="I25" s="194" t="s">
        <v>185</v>
      </c>
      <c r="J25" s="399" t="s">
        <v>28</v>
      </c>
      <c r="K25" s="194" t="s">
        <v>195</v>
      </c>
      <c r="L25" s="194"/>
      <c r="M25" s="194"/>
      <c r="N25" s="218"/>
    </row>
    <row r="26" spans="2:15" ht="15.75" thickBot="1" x14ac:dyDescent="0.3">
      <c r="B26" s="206" t="s">
        <v>108</v>
      </c>
      <c r="C26" s="207">
        <f t="shared" ref="C26:K26" si="4">IFERROR(INDEX($C$4:$N$9,MATCH($B26,$B$4:$B$9,0),MATCH(C25,$C$3:$N$3,0)),"")</f>
        <v>6.9602513215071774E-4</v>
      </c>
      <c r="D26" s="207">
        <f t="shared" si="4"/>
        <v>6.8234727462470904E-2</v>
      </c>
      <c r="E26" s="207">
        <f t="shared" si="4"/>
        <v>9.0583169690309329E-2</v>
      </c>
      <c r="F26" s="207">
        <f t="shared" si="4"/>
        <v>9.8501922312077425E-2</v>
      </c>
      <c r="G26" s="207">
        <f t="shared" si="4"/>
        <v>0.1161170459823502</v>
      </c>
      <c r="H26" s="207">
        <f t="shared" si="4"/>
        <v>0.12242251871680121</v>
      </c>
      <c r="I26" s="207">
        <f t="shared" si="4"/>
        <v>0.14575788161253933</v>
      </c>
      <c r="J26" s="400">
        <f t="shared" si="4"/>
        <v>0.21464663159584815</v>
      </c>
      <c r="K26" s="207">
        <f t="shared" si="4"/>
        <v>0.24252646271955333</v>
      </c>
      <c r="L26" s="207"/>
      <c r="M26" s="207"/>
      <c r="N26" s="219"/>
    </row>
    <row r="27" spans="2:15" x14ac:dyDescent="0.25"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2:15" x14ac:dyDescent="0.25">
      <c r="B28" s="209" t="s">
        <v>112</v>
      </c>
      <c r="C28" s="205" t="s">
        <v>187</v>
      </c>
      <c r="D28" s="194" t="s">
        <v>189</v>
      </c>
      <c r="E28" s="194" t="s">
        <v>195</v>
      </c>
      <c r="F28" s="194" t="s">
        <v>191</v>
      </c>
      <c r="G28" s="194" t="s">
        <v>182</v>
      </c>
      <c r="H28" s="194" t="s">
        <v>184</v>
      </c>
      <c r="I28" s="194" t="s">
        <v>194</v>
      </c>
      <c r="J28" s="194" t="s">
        <v>185</v>
      </c>
      <c r="K28" s="399" t="s">
        <v>28</v>
      </c>
      <c r="L28" s="194"/>
      <c r="M28" s="194"/>
      <c r="N28" s="218"/>
    </row>
    <row r="29" spans="2:15" ht="15.75" thickBot="1" x14ac:dyDescent="0.3">
      <c r="B29" s="206" t="s">
        <v>109</v>
      </c>
      <c r="C29" s="207">
        <f t="shared" ref="C29:K29" si="5">IFERROR(INDEX($C$4:$N$9,MATCH($B29,$B$4:$B$9,0),MATCH(C28,$C$3:$N$3,0)),"")</f>
        <v>-2.8913260219341975E-2</v>
      </c>
      <c r="D29" s="207">
        <f t="shared" si="5"/>
        <v>3.9656418078188968E-2</v>
      </c>
      <c r="E29" s="207">
        <f t="shared" si="5"/>
        <v>5.0075607770152381E-2</v>
      </c>
      <c r="F29" s="207">
        <f t="shared" si="5"/>
        <v>5.7704433675031981E-2</v>
      </c>
      <c r="G29" s="207">
        <f t="shared" si="5"/>
        <v>6.8871801670422908E-2</v>
      </c>
      <c r="H29" s="207">
        <f t="shared" si="5"/>
        <v>9.6271587214457624E-2</v>
      </c>
      <c r="I29" s="207">
        <f t="shared" si="5"/>
        <v>0.11106696223179556</v>
      </c>
      <c r="J29" s="207">
        <f t="shared" si="5"/>
        <v>0.12800569969720357</v>
      </c>
      <c r="K29" s="400">
        <f t="shared" si="5"/>
        <v>0.14955468875435629</v>
      </c>
      <c r="L29" s="207"/>
      <c r="M29" s="207"/>
      <c r="N29" s="219"/>
    </row>
    <row r="30" spans="2:15" x14ac:dyDescent="0.25"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2:15" x14ac:dyDescent="0.25">
      <c r="B31" s="209" t="s">
        <v>112</v>
      </c>
      <c r="C31" s="205" t="s">
        <v>28</v>
      </c>
      <c r="D31" s="194" t="s">
        <v>182</v>
      </c>
      <c r="E31" s="194" t="s">
        <v>184</v>
      </c>
      <c r="F31" s="194" t="s">
        <v>195</v>
      </c>
      <c r="G31" s="194" t="s">
        <v>194</v>
      </c>
      <c r="H31" s="194" t="s">
        <v>185</v>
      </c>
      <c r="I31" s="194" t="s">
        <v>187</v>
      </c>
      <c r="J31" s="194" t="s">
        <v>189</v>
      </c>
      <c r="K31" s="194" t="s">
        <v>191</v>
      </c>
      <c r="L31" s="194"/>
      <c r="M31" s="194"/>
      <c r="N31" s="218"/>
    </row>
    <row r="32" spans="2:15" ht="15.75" thickBot="1" x14ac:dyDescent="0.3">
      <c r="B32" s="206" t="s">
        <v>113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97"/>
      <c r="O32" s="341"/>
    </row>
    <row r="33" spans="2:14" ht="15.75" thickBot="1" x14ac:dyDescent="0.3"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</row>
    <row r="34" spans="2:14" ht="15.75" thickBot="1" x14ac:dyDescent="0.3">
      <c r="B34" s="222" t="s">
        <v>114</v>
      </c>
      <c r="C34" s="223"/>
      <c r="D34" s="223"/>
      <c r="E34" s="224"/>
      <c r="F34" s="191"/>
      <c r="G34" s="191"/>
      <c r="H34" s="191"/>
      <c r="I34" s="191"/>
      <c r="J34" s="191"/>
      <c r="K34" s="191"/>
      <c r="L34" s="191"/>
      <c r="M34" s="191"/>
      <c r="N34" s="191"/>
    </row>
    <row r="35" spans="2:14" x14ac:dyDescent="0.25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</row>
    <row r="36" spans="2:14" x14ac:dyDescent="0.25">
      <c r="B36" s="213"/>
      <c r="C36" s="230" t="s">
        <v>87</v>
      </c>
      <c r="D36" s="194" t="s">
        <v>80</v>
      </c>
      <c r="E36" s="194" t="s">
        <v>81</v>
      </c>
      <c r="F36" s="194" t="s">
        <v>84</v>
      </c>
      <c r="G36" s="194" t="s">
        <v>86</v>
      </c>
      <c r="H36" s="194" t="s">
        <v>79</v>
      </c>
      <c r="I36" s="194" t="s">
        <v>82</v>
      </c>
      <c r="J36" s="194" t="s">
        <v>27</v>
      </c>
      <c r="K36" s="194" t="s">
        <v>85</v>
      </c>
      <c r="L36" s="194" t="s">
        <v>28</v>
      </c>
      <c r="M36" s="194" t="s">
        <v>83</v>
      </c>
      <c r="N36" s="218" t="s">
        <v>78</v>
      </c>
    </row>
    <row r="37" spans="2:14" ht="15.75" thickBot="1" x14ac:dyDescent="0.3">
      <c r="B37" s="213"/>
      <c r="C37" s="231">
        <v>1</v>
      </c>
      <c r="D37" s="215">
        <v>2</v>
      </c>
      <c r="E37" s="215">
        <v>3</v>
      </c>
      <c r="F37" s="215">
        <v>3</v>
      </c>
      <c r="G37" s="215">
        <v>3</v>
      </c>
      <c r="H37" s="232">
        <v>4</v>
      </c>
      <c r="I37" s="232">
        <v>4</v>
      </c>
      <c r="J37" s="300">
        <v>4</v>
      </c>
      <c r="K37" s="232">
        <v>4</v>
      </c>
      <c r="L37" s="232">
        <v>4</v>
      </c>
      <c r="M37" s="232">
        <v>5</v>
      </c>
      <c r="N37" s="301">
        <v>7</v>
      </c>
    </row>
    <row r="38" spans="2:14" x14ac:dyDescent="0.25">
      <c r="B38" s="191"/>
      <c r="C38" s="216"/>
      <c r="D38" s="216"/>
      <c r="E38" s="216"/>
      <c r="F38" s="216"/>
      <c r="G38" s="216"/>
      <c r="H38" s="216"/>
      <c r="I38" s="216"/>
      <c r="J38" s="191"/>
      <c r="K38" s="216"/>
      <c r="L38" s="216"/>
      <c r="M38" s="191"/>
      <c r="N38" s="216"/>
    </row>
    <row r="39" spans="2:14" x14ac:dyDescent="0.25">
      <c r="B39" s="191"/>
      <c r="C39" s="191"/>
      <c r="D39" s="191"/>
      <c r="E39" s="191"/>
      <c r="F39" s="191"/>
      <c r="G39" s="191"/>
      <c r="H39" s="191"/>
      <c r="I39" s="191"/>
      <c r="K39" s="191"/>
      <c r="L39" s="191"/>
      <c r="M39" s="191"/>
      <c r="N39" s="191"/>
    </row>
    <row r="40" spans="2:14" ht="15.75" thickBot="1" x14ac:dyDescent="0.3">
      <c r="B40" s="458" t="s">
        <v>115</v>
      </c>
      <c r="C40" s="459"/>
      <c r="D40" s="459"/>
      <c r="E40" s="460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2:14" ht="15.75" thickBot="1" x14ac:dyDescent="0.3"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2:14" x14ac:dyDescent="0.25">
      <c r="B42" s="191"/>
      <c r="C42" s="233"/>
      <c r="D42" s="234"/>
      <c r="E42" s="234"/>
      <c r="F42" s="234" t="s">
        <v>196</v>
      </c>
      <c r="G42" s="234" t="s">
        <v>184</v>
      </c>
      <c r="H42" s="234" t="s">
        <v>195</v>
      </c>
      <c r="I42" s="235" t="s">
        <v>28</v>
      </c>
      <c r="J42" s="191"/>
      <c r="K42" s="191"/>
      <c r="L42" s="191"/>
      <c r="M42" s="191"/>
      <c r="N42" s="191"/>
    </row>
    <row r="43" spans="2:14" ht="15.75" thickBot="1" x14ac:dyDescent="0.3">
      <c r="B43" s="191"/>
      <c r="C43" s="214"/>
      <c r="D43" s="215"/>
      <c r="E43" s="215"/>
      <c r="F43" s="215"/>
      <c r="G43" s="215"/>
      <c r="H43" s="215"/>
      <c r="I43" s="217"/>
      <c r="J43" s="191"/>
      <c r="K43" s="191"/>
      <c r="L43" s="191"/>
      <c r="M43" s="191"/>
      <c r="N43" s="191"/>
    </row>
    <row r="53" spans="2:14" x14ac:dyDescent="0.25"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</row>
  </sheetData>
  <sortState xmlns:xlrd2="http://schemas.microsoft.com/office/spreadsheetml/2017/richdata2" columnSort="1" ref="C28:K29">
    <sortCondition ref="C29:K29"/>
  </sortState>
  <mergeCells count="2">
    <mergeCell ref="B1:N1"/>
    <mergeCell ref="B40:E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CC6C-2788-4BB5-A80D-9B3D6665AD02}">
  <sheetPr>
    <tabColor rgb="FF002060"/>
  </sheetPr>
  <dimension ref="B1:AC37"/>
  <sheetViews>
    <sheetView showGridLines="0" zoomScale="89" zoomScaleNormal="85" workbookViewId="0">
      <selection activeCell="G10" sqref="G10"/>
    </sheetView>
  </sheetViews>
  <sheetFormatPr defaultColWidth="11.85546875" defaultRowHeight="14.25" x14ac:dyDescent="0.2"/>
  <cols>
    <col min="1" max="1" width="11.85546875" style="236"/>
    <col min="2" max="3" width="14.85546875" style="236" customWidth="1"/>
    <col min="4" max="4" width="2.85546875" style="236" customWidth="1"/>
    <col min="5" max="9" width="14.85546875" style="236" customWidth="1"/>
    <col min="10" max="10" width="9.85546875" style="236" customWidth="1"/>
    <col min="11" max="14" width="14.85546875" style="236" customWidth="1"/>
    <col min="15" max="15" width="12.28515625" style="236" bestFit="1" customWidth="1"/>
    <col min="16" max="16" width="14.140625" style="236" bestFit="1" customWidth="1"/>
    <col min="17" max="17" width="10.85546875" style="236" bestFit="1" customWidth="1"/>
    <col min="18" max="20" width="14.85546875" style="236" customWidth="1"/>
    <col min="21" max="27" width="11.85546875" style="236"/>
    <col min="28" max="28" width="18.140625" style="236" bestFit="1" customWidth="1"/>
    <col min="29" max="29" width="11.28515625" style="236" customWidth="1"/>
    <col min="30" max="16384" width="11.85546875" style="236"/>
  </cols>
  <sheetData>
    <row r="1" spans="2:29" ht="45" x14ac:dyDescent="0.6">
      <c r="B1" s="457" t="s">
        <v>116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</row>
    <row r="3" spans="2:29" ht="15.75" thickBot="1" x14ac:dyDescent="0.3">
      <c r="C3" s="461" t="s">
        <v>117</v>
      </c>
      <c r="D3" s="461"/>
      <c r="E3" s="461"/>
      <c r="F3" s="462"/>
      <c r="K3" s="461" t="s">
        <v>118</v>
      </c>
      <c r="L3" s="463"/>
      <c r="M3" s="46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15.75" thickBot="1" x14ac:dyDescent="0.3">
      <c r="B4" s="237"/>
      <c r="C4" s="237"/>
      <c r="D4" s="237"/>
      <c r="E4" s="237"/>
      <c r="F4" s="23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2:29" ht="15.75" thickBot="1" x14ac:dyDescent="0.3">
      <c r="C5" s="305" t="s">
        <v>28</v>
      </c>
      <c r="E5" s="306" t="s">
        <v>196</v>
      </c>
      <c r="F5" s="307" t="s">
        <v>197</v>
      </c>
      <c r="G5" s="308" t="s">
        <v>184</v>
      </c>
      <c r="H5" s="308"/>
      <c r="J5" s="309" t="s">
        <v>119</v>
      </c>
      <c r="K5" s="307" t="s">
        <v>120</v>
      </c>
      <c r="L5" s="310" t="s">
        <v>121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240" t="s">
        <v>122</v>
      </c>
      <c r="C6" s="302">
        <v>17.11</v>
      </c>
      <c r="E6" s="241">
        <v>12.08</v>
      </c>
      <c r="F6" s="242">
        <v>17.8</v>
      </c>
      <c r="G6" s="243">
        <v>47.02</v>
      </c>
      <c r="H6" s="243"/>
      <c r="I6" s="244" t="s">
        <v>122</v>
      </c>
      <c r="J6" s="245">
        <f>IFERROR(AVERAGE(E6:H6),"")</f>
        <v>25.633333333333336</v>
      </c>
      <c r="K6" s="246">
        <f>IFERROR(MEDIAN(E6:H6),"")</f>
        <v>17.8</v>
      </c>
      <c r="L6" s="398">
        <f>IFERROR(ABS((J6-K6)/J6),"")</f>
        <v>0.30559167750325106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240" t="s">
        <v>123</v>
      </c>
      <c r="C7" s="302">
        <v>7.05</v>
      </c>
      <c r="E7" s="248">
        <v>1.84</v>
      </c>
      <c r="F7" s="246">
        <v>1.35</v>
      </c>
      <c r="G7" s="249">
        <v>6.49</v>
      </c>
      <c r="H7" s="249"/>
      <c r="I7" s="244" t="s">
        <v>124</v>
      </c>
      <c r="J7" s="245">
        <f>IFERROR(AVERAGE(E7:H7),"")</f>
        <v>3.2266666666666666</v>
      </c>
      <c r="K7" s="246">
        <f>IFERROR(MEDIAN(E7:H7),"")</f>
        <v>1.84</v>
      </c>
      <c r="L7" s="247">
        <f t="shared" ref="L7:L10" si="0">IFERROR(ABS((J7-K7)/J7),"")</f>
        <v>0.42975206611570244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240" t="s">
        <v>125</v>
      </c>
      <c r="C8" s="302">
        <v>7.34</v>
      </c>
      <c r="E8" s="248">
        <v>1.84</v>
      </c>
      <c r="F8" s="246"/>
      <c r="G8" s="249">
        <v>9.42</v>
      </c>
      <c r="H8" s="249"/>
      <c r="I8" s="244" t="s">
        <v>125</v>
      </c>
      <c r="J8" s="245">
        <f>IFERROR(AVERAGE(F8:H8),"")</f>
        <v>9.42</v>
      </c>
      <c r="K8" s="246">
        <f>IFERROR(MEDIAN(F8:H8),"")</f>
        <v>9.42</v>
      </c>
      <c r="L8" s="247">
        <f t="shared" si="0"/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240" t="s">
        <v>126</v>
      </c>
      <c r="C9" s="303">
        <v>13.57</v>
      </c>
      <c r="E9" s="366">
        <v>9.09</v>
      </c>
      <c r="F9" s="246">
        <v>4.84</v>
      </c>
      <c r="G9" s="249">
        <v>12.91</v>
      </c>
      <c r="H9" s="249"/>
      <c r="I9" s="244" t="s">
        <v>126</v>
      </c>
      <c r="J9" s="245">
        <f>IFERROR(AVERAGE(E9:H9),"")</f>
        <v>8.9466666666666672</v>
      </c>
      <c r="K9" s="246">
        <f>IFERROR(MEDIAN(E9:H9),"")</f>
        <v>9.09</v>
      </c>
      <c r="L9" s="339">
        <f>IFERROR(ABS((J9-K9)/J9),"")</f>
        <v>1.602086438152004E-2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.75" thickBot="1" x14ac:dyDescent="0.3">
      <c r="B10" s="240" t="s">
        <v>127</v>
      </c>
      <c r="C10" s="304">
        <v>19.43</v>
      </c>
      <c r="E10" s="252">
        <v>14.25</v>
      </c>
      <c r="F10" s="367">
        <v>23.42</v>
      </c>
      <c r="G10" s="381">
        <v>15.57</v>
      </c>
      <c r="H10" s="368"/>
      <c r="I10" s="244" t="s">
        <v>127</v>
      </c>
      <c r="J10" s="252">
        <f>IFERROR(AVERAGE(E10:H10),"")</f>
        <v>17.746666666666666</v>
      </c>
      <c r="K10" s="253">
        <f>IFERROR(MEDIAN(E10:H10),"")</f>
        <v>15.57</v>
      </c>
      <c r="L10" s="254">
        <f t="shared" si="0"/>
        <v>0.12265214124718253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B11" s="255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.75" thickBot="1" x14ac:dyDescent="0.3">
      <c r="C12" s="461" t="s">
        <v>128</v>
      </c>
      <c r="D12" s="461"/>
      <c r="E12" s="461"/>
      <c r="F12" s="462"/>
      <c r="H12" s="338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D13" s="256" t="s">
        <v>78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2:29" ht="15.75" customHeight="1" thickBot="1" x14ac:dyDescent="0.3">
      <c r="B14" s="244"/>
      <c r="D14" s="244" t="s">
        <v>129</v>
      </c>
      <c r="E14" s="257">
        <v>45657</v>
      </c>
      <c r="F14" s="258" t="s">
        <v>130</v>
      </c>
      <c r="S14"/>
      <c r="T14"/>
      <c r="U14"/>
      <c r="V14"/>
      <c r="W14"/>
      <c r="X14"/>
      <c r="Y14"/>
      <c r="Z14"/>
      <c r="AA14"/>
      <c r="AB14"/>
      <c r="AC14"/>
    </row>
    <row r="15" spans="2:29" ht="15.75" thickBot="1" x14ac:dyDescent="0.3">
      <c r="B15" s="244"/>
      <c r="D15" s="244" t="s">
        <v>131</v>
      </c>
      <c r="E15" s="250">
        <v>5.3</v>
      </c>
      <c r="F15" s="259">
        <v>6.28</v>
      </c>
      <c r="H15" s="465" t="s">
        <v>132</v>
      </c>
      <c r="I15" s="465"/>
      <c r="J15" s="466"/>
      <c r="K15" s="467"/>
      <c r="S15"/>
      <c r="T15"/>
      <c r="U15"/>
      <c r="V15"/>
      <c r="W15"/>
      <c r="X15"/>
      <c r="Y15"/>
      <c r="Z15"/>
      <c r="AA15"/>
      <c r="AB15"/>
      <c r="AC15"/>
    </row>
    <row r="16" spans="2:29" ht="15" x14ac:dyDescent="0.25">
      <c r="B16" s="244"/>
      <c r="C16" s="312"/>
      <c r="D16" s="244" t="s">
        <v>133</v>
      </c>
      <c r="E16" s="250">
        <v>5.08</v>
      </c>
      <c r="F16" s="259" t="s">
        <v>134</v>
      </c>
      <c r="H16" s="260" t="s">
        <v>135</v>
      </c>
      <c r="I16" s="142"/>
      <c r="J16" s="132"/>
      <c r="K16" s="261" t="s">
        <v>126</v>
      </c>
      <c r="S16"/>
      <c r="T16"/>
      <c r="U16"/>
      <c r="V16"/>
      <c r="W16"/>
      <c r="X16"/>
      <c r="Y16"/>
      <c r="Z16"/>
      <c r="AA16"/>
      <c r="AB16"/>
      <c r="AC16"/>
    </row>
    <row r="17" spans="2:29" ht="15" x14ac:dyDescent="0.25">
      <c r="B17" s="311"/>
      <c r="D17" s="244" t="s">
        <v>136</v>
      </c>
      <c r="E17" s="250">
        <v>0.95</v>
      </c>
      <c r="F17" s="259">
        <v>1.19</v>
      </c>
      <c r="H17" s="260"/>
      <c r="I17" s="142"/>
      <c r="J17" s="132"/>
      <c r="K17" s="261"/>
      <c r="S17"/>
      <c r="T17"/>
      <c r="U17"/>
      <c r="V17"/>
      <c r="W17"/>
      <c r="X17"/>
      <c r="Y17"/>
      <c r="Z17"/>
      <c r="AA17"/>
      <c r="AB17"/>
      <c r="AC17"/>
    </row>
    <row r="18" spans="2:29" ht="15" x14ac:dyDescent="0.25">
      <c r="B18" s="337"/>
      <c r="D18" s="244" t="s">
        <v>137</v>
      </c>
      <c r="E18" s="250">
        <v>1.95</v>
      </c>
      <c r="F18" s="259">
        <v>0.82</v>
      </c>
      <c r="H18" s="262" t="s">
        <v>138</v>
      </c>
      <c r="I18" s="263"/>
      <c r="J18" s="263"/>
      <c r="K18" s="264">
        <v>13.57</v>
      </c>
      <c r="S18"/>
      <c r="T18"/>
      <c r="U18"/>
      <c r="V18"/>
      <c r="W18"/>
      <c r="X18"/>
      <c r="Y18"/>
      <c r="Z18"/>
      <c r="AA18"/>
      <c r="AB18"/>
      <c r="AC18"/>
    </row>
    <row r="19" spans="2:29" ht="15.75" thickBot="1" x14ac:dyDescent="0.3">
      <c r="B19" s="244"/>
      <c r="C19" s="267"/>
      <c r="D19" s="244" t="s">
        <v>139</v>
      </c>
      <c r="E19" s="251">
        <v>1.71</v>
      </c>
      <c r="F19" s="268" t="s">
        <v>134</v>
      </c>
      <c r="H19" s="265" t="s">
        <v>140</v>
      </c>
      <c r="I19" s="132"/>
      <c r="J19" s="132"/>
      <c r="K19" s="266">
        <f>K9</f>
        <v>9.09</v>
      </c>
      <c r="S19"/>
      <c r="T19"/>
      <c r="U19"/>
      <c r="V19"/>
      <c r="W19"/>
      <c r="X19"/>
      <c r="Y19"/>
      <c r="Z19"/>
      <c r="AA19"/>
      <c r="AB19"/>
      <c r="AC19"/>
    </row>
    <row r="20" spans="2:29" ht="15.75" thickBot="1" x14ac:dyDescent="0.3">
      <c r="B20" s="244"/>
      <c r="C20" s="267"/>
      <c r="H20" s="269" t="s">
        <v>141</v>
      </c>
      <c r="I20" s="270"/>
      <c r="J20" s="270"/>
      <c r="K20" s="340">
        <f>K18*K19</f>
        <v>123.35129999999999</v>
      </c>
      <c r="S20"/>
      <c r="T20"/>
      <c r="U20"/>
      <c r="V20"/>
      <c r="W20"/>
      <c r="X20"/>
      <c r="Y20"/>
      <c r="Z20"/>
      <c r="AA20"/>
      <c r="AB20"/>
      <c r="AC20"/>
    </row>
    <row r="21" spans="2:29" ht="15" x14ac:dyDescent="0.25">
      <c r="B21" s="244"/>
      <c r="C21" s="271"/>
      <c r="D21" s="271"/>
      <c r="F21"/>
      <c r="G21"/>
      <c r="H21"/>
      <c r="I21"/>
      <c r="J21"/>
      <c r="K21"/>
      <c r="S21"/>
      <c r="T21"/>
      <c r="U21"/>
      <c r="V21"/>
      <c r="W21"/>
      <c r="X21"/>
      <c r="Y21"/>
      <c r="Z21"/>
      <c r="AA21"/>
      <c r="AB21"/>
      <c r="AC21"/>
    </row>
    <row r="22" spans="2:29" ht="15" x14ac:dyDescent="0.25">
      <c r="B22" s="271"/>
      <c r="E22" s="272"/>
      <c r="F22"/>
      <c r="G22"/>
      <c r="H22"/>
      <c r="I22"/>
      <c r="J22"/>
      <c r="K22"/>
      <c r="S22"/>
      <c r="T22"/>
      <c r="U22"/>
      <c r="V22"/>
      <c r="W22"/>
      <c r="X22"/>
      <c r="Y22"/>
      <c r="Z22"/>
      <c r="AA22"/>
      <c r="AB22"/>
      <c r="AC22"/>
    </row>
    <row r="23" spans="2:29" ht="15" x14ac:dyDescent="0.25">
      <c r="B23"/>
      <c r="C23"/>
      <c r="D23"/>
      <c r="E23"/>
      <c r="R23"/>
      <c r="S23"/>
      <c r="T23"/>
      <c r="U23"/>
      <c r="V23"/>
      <c r="W23"/>
      <c r="X23"/>
      <c r="Y23"/>
      <c r="Z23"/>
      <c r="AA23"/>
      <c r="AB23"/>
      <c r="AC23"/>
    </row>
    <row r="24" spans="2:29" ht="15" x14ac:dyDescent="0.25">
      <c r="B24"/>
      <c r="C24"/>
      <c r="D24"/>
      <c r="E24"/>
      <c r="R24"/>
      <c r="S24"/>
      <c r="T24"/>
      <c r="U24"/>
      <c r="V24"/>
      <c r="W24"/>
      <c r="X24"/>
      <c r="Y24"/>
      <c r="Z24"/>
      <c r="AA24"/>
      <c r="AB24"/>
      <c r="AC24"/>
    </row>
    <row r="25" spans="2:29" ht="15" x14ac:dyDescent="0.25">
      <c r="B25"/>
      <c r="C25"/>
      <c r="D25"/>
      <c r="E25"/>
      <c r="R25"/>
      <c r="S25"/>
      <c r="T25"/>
      <c r="U25"/>
      <c r="V25"/>
      <c r="W25"/>
      <c r="X25"/>
      <c r="Y25"/>
      <c r="Z25"/>
      <c r="AA25"/>
      <c r="AB25"/>
      <c r="AC25"/>
    </row>
    <row r="26" spans="2:29" ht="15" x14ac:dyDescent="0.25">
      <c r="B26"/>
      <c r="C26"/>
      <c r="D26"/>
      <c r="E26"/>
      <c r="R26"/>
      <c r="S26"/>
      <c r="T26"/>
      <c r="U26"/>
      <c r="V26"/>
      <c r="W26"/>
      <c r="X26"/>
      <c r="Y26"/>
      <c r="Z26"/>
      <c r="AA26"/>
      <c r="AB26"/>
      <c r="AC26"/>
    </row>
    <row r="27" spans="2:29" ht="15" x14ac:dyDescent="0.25">
      <c r="B27"/>
      <c r="C27"/>
      <c r="D27"/>
      <c r="E27"/>
      <c r="R27"/>
      <c r="S27"/>
      <c r="T27"/>
      <c r="U27"/>
      <c r="V27"/>
      <c r="W27"/>
      <c r="X27"/>
      <c r="Y27"/>
      <c r="Z27"/>
      <c r="AA27"/>
      <c r="AB27"/>
      <c r="AC27"/>
    </row>
    <row r="28" spans="2:29" ht="15" x14ac:dyDescent="0.25">
      <c r="B28"/>
      <c r="C28"/>
      <c r="D28"/>
      <c r="E28"/>
      <c r="R28"/>
      <c r="S28"/>
      <c r="T28"/>
      <c r="U28"/>
      <c r="V28"/>
      <c r="W28"/>
      <c r="X28"/>
      <c r="Y28"/>
      <c r="Z28"/>
      <c r="AA28"/>
      <c r="AB28"/>
      <c r="AC28"/>
    </row>
    <row r="29" spans="2:29" ht="15" x14ac:dyDescent="0.25">
      <c r="B29"/>
      <c r="C29"/>
      <c r="D29"/>
      <c r="E29"/>
    </row>
    <row r="30" spans="2:29" ht="15" x14ac:dyDescent="0.25">
      <c r="B30"/>
      <c r="C30"/>
      <c r="D30"/>
      <c r="E30"/>
      <c r="X30"/>
      <c r="Y30"/>
      <c r="Z30"/>
    </row>
    <row r="31" spans="2:29" ht="15" x14ac:dyDescent="0.25">
      <c r="X31"/>
      <c r="Y31"/>
      <c r="Z31"/>
    </row>
    <row r="32" spans="2:29" ht="15" x14ac:dyDescent="0.25">
      <c r="X32"/>
      <c r="Y32"/>
      <c r="Z32"/>
    </row>
    <row r="33" spans="24:26" ht="15" x14ac:dyDescent="0.25">
      <c r="X33"/>
      <c r="Y33"/>
      <c r="Z33"/>
    </row>
    <row r="34" spans="24:26" ht="15" x14ac:dyDescent="0.25">
      <c r="X34"/>
      <c r="Y34"/>
      <c r="Z34"/>
    </row>
    <row r="35" spans="24:26" ht="15" x14ac:dyDescent="0.25">
      <c r="X35"/>
      <c r="Y35"/>
      <c r="Z35"/>
    </row>
    <row r="36" spans="24:26" ht="15" x14ac:dyDescent="0.25">
      <c r="X36"/>
      <c r="Y36"/>
      <c r="Z36"/>
    </row>
    <row r="37" spans="24:26" ht="15" x14ac:dyDescent="0.25">
      <c r="X37"/>
      <c r="Y37"/>
      <c r="Z37"/>
    </row>
  </sheetData>
  <mergeCells count="5">
    <mergeCell ref="B1:X1"/>
    <mergeCell ref="C3:F3"/>
    <mergeCell ref="K3:M3"/>
    <mergeCell ref="C12:F12"/>
    <mergeCell ref="H15:K15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C4E3-07FE-4F68-BAC0-21852E5A3EED}">
  <sheetPr>
    <tabColor rgb="FF002060"/>
  </sheetPr>
  <dimension ref="B1:X21"/>
  <sheetViews>
    <sheetView showGridLines="0" zoomScaleNormal="100" workbookViewId="0">
      <selection activeCell="F17" sqref="F17"/>
    </sheetView>
  </sheetViews>
  <sheetFormatPr defaultColWidth="12" defaultRowHeight="15" x14ac:dyDescent="0.25"/>
  <cols>
    <col min="2" max="3" width="14.85546875" customWidth="1"/>
    <col min="4" max="4" width="3.140625" customWidth="1"/>
    <col min="5" max="13" width="14.85546875" customWidth="1"/>
    <col min="14" max="14" width="29.140625" bestFit="1" customWidth="1"/>
    <col min="16" max="19" width="14.85546875" customWidth="1"/>
  </cols>
  <sheetData>
    <row r="1" spans="2:24" ht="45" x14ac:dyDescent="0.6">
      <c r="B1" s="457" t="s">
        <v>142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</row>
    <row r="3" spans="2:24" ht="15.75" thickBot="1" x14ac:dyDescent="0.3">
      <c r="C3" s="461" t="s">
        <v>117</v>
      </c>
      <c r="D3" s="461"/>
      <c r="E3" s="461"/>
      <c r="F3" s="462"/>
      <c r="K3" s="461" t="s">
        <v>118</v>
      </c>
      <c r="L3" s="463"/>
      <c r="M3" s="464"/>
    </row>
    <row r="4" spans="2:24" ht="15.75" thickBot="1" x14ac:dyDescent="0.3">
      <c r="J4" s="236"/>
      <c r="K4" s="236"/>
      <c r="L4" s="236"/>
      <c r="M4" s="236"/>
      <c r="N4" s="236"/>
    </row>
    <row r="5" spans="2:24" ht="15.75" thickBot="1" x14ac:dyDescent="0.3">
      <c r="B5" s="2"/>
      <c r="C5" s="369" t="s">
        <v>28</v>
      </c>
      <c r="E5" s="306" t="s">
        <v>196</v>
      </c>
      <c r="F5" s="307" t="s">
        <v>197</v>
      </c>
      <c r="G5" s="307" t="s">
        <v>184</v>
      </c>
      <c r="H5" s="310"/>
      <c r="I5" s="236"/>
      <c r="J5" s="238" t="s">
        <v>119</v>
      </c>
      <c r="K5" s="273" t="s">
        <v>120</v>
      </c>
      <c r="L5" s="239" t="s">
        <v>121</v>
      </c>
      <c r="M5" s="236"/>
    </row>
    <row r="6" spans="2:24" x14ac:dyDescent="0.25">
      <c r="B6" s="274" t="s">
        <v>143</v>
      </c>
      <c r="C6" s="370">
        <v>2.83</v>
      </c>
      <c r="E6" s="382">
        <v>0.84</v>
      </c>
      <c r="F6" s="383">
        <v>2.2000000000000002</v>
      </c>
      <c r="G6" s="384">
        <v>1.64</v>
      </c>
      <c r="H6" s="385"/>
      <c r="I6" s="274" t="s">
        <v>143</v>
      </c>
      <c r="J6" s="245">
        <f>IFERROR(AVERAGE(E6:H6),"")</f>
        <v>1.5599999999999998</v>
      </c>
      <c r="K6" s="275">
        <f>IFERROR(MEDIAN(E6:H6),"")</f>
        <v>1.64</v>
      </c>
      <c r="L6" s="339">
        <f>IFERROR(ABS((J6-K6)/J6),"")</f>
        <v>5.1282051282051336E-2</v>
      </c>
      <c r="M6" s="236"/>
    </row>
    <row r="7" spans="2:24" x14ac:dyDescent="0.25">
      <c r="B7" s="274" t="s">
        <v>144</v>
      </c>
      <c r="C7" s="371">
        <v>9.1</v>
      </c>
      <c r="E7" s="248">
        <v>5.41</v>
      </c>
      <c r="F7" s="276">
        <v>8.56</v>
      </c>
      <c r="G7" s="276">
        <v>15.46</v>
      </c>
      <c r="H7" s="342"/>
      <c r="I7" s="274" t="s">
        <v>144</v>
      </c>
      <c r="J7" s="245">
        <f>IFERROR(AVERAGE(E7:H7),"")</f>
        <v>9.81</v>
      </c>
      <c r="K7" s="246">
        <f>IFERROR(MEDIAN(E7:H7),"")</f>
        <v>8.56</v>
      </c>
      <c r="L7" s="398">
        <f t="shared" ref="L7:L8" si="0">IFERROR(ABS((J7-K7)/J7),"")</f>
        <v>0.127420998980632</v>
      </c>
      <c r="M7" s="236"/>
    </row>
    <row r="8" spans="2:24" ht="15.75" thickBot="1" x14ac:dyDescent="0.3">
      <c r="B8" s="274" t="s">
        <v>145</v>
      </c>
      <c r="C8" s="372">
        <v>11.65</v>
      </c>
      <c r="E8" s="277">
        <v>8.77</v>
      </c>
      <c r="F8" s="278">
        <v>16.329999999999998</v>
      </c>
      <c r="G8" s="278">
        <v>28.98</v>
      </c>
      <c r="H8" s="343"/>
      <c r="I8" s="274" t="s">
        <v>145</v>
      </c>
      <c r="J8" s="279">
        <f>IFERROR(AVERAGE(E8:H8),"")</f>
        <v>18.026666666666667</v>
      </c>
      <c r="K8" s="253">
        <f>IFERROR(MEDIAN(E8:H8),"")</f>
        <v>16.329999999999998</v>
      </c>
      <c r="L8" s="280">
        <f t="shared" si="0"/>
        <v>9.4119822485207227E-2</v>
      </c>
      <c r="M8" s="236"/>
    </row>
    <row r="9" spans="2:24" x14ac:dyDescent="0.25">
      <c r="B9" s="274"/>
      <c r="C9" s="274"/>
      <c r="D9" s="274"/>
      <c r="J9" s="236"/>
      <c r="K9" s="236"/>
      <c r="L9" s="236"/>
    </row>
    <row r="10" spans="2:24" x14ac:dyDescent="0.25">
      <c r="B10" s="274"/>
      <c r="C10" s="274"/>
      <c r="D10" s="274"/>
    </row>
    <row r="11" spans="2:24" ht="15.75" thickBot="1" x14ac:dyDescent="0.3">
      <c r="B11" s="274"/>
      <c r="C11" s="468" t="s">
        <v>146</v>
      </c>
      <c r="D11" s="469"/>
      <c r="E11" s="469"/>
      <c r="F11" s="470"/>
    </row>
    <row r="12" spans="2:24" x14ac:dyDescent="0.25">
      <c r="C12" s="281" t="s">
        <v>147</v>
      </c>
      <c r="D12" s="132"/>
      <c r="E12" s="282"/>
      <c r="F12" s="283" t="s">
        <v>199</v>
      </c>
    </row>
    <row r="13" spans="2:24" x14ac:dyDescent="0.25">
      <c r="C13" s="284" t="s">
        <v>198</v>
      </c>
      <c r="D13" s="263"/>
      <c r="E13" s="285"/>
      <c r="F13" s="344">
        <f>Historicals!H6</f>
        <v>9619.2999999999993</v>
      </c>
    </row>
    <row r="14" spans="2:24" x14ac:dyDescent="0.25">
      <c r="C14" s="287" t="s">
        <v>148</v>
      </c>
      <c r="D14" s="132"/>
      <c r="E14" s="288"/>
      <c r="F14" s="266">
        <v>2.2000000000000002</v>
      </c>
    </row>
    <row r="15" spans="2:24" x14ac:dyDescent="0.25">
      <c r="C15" s="284" t="s">
        <v>149</v>
      </c>
      <c r="D15" s="263"/>
      <c r="E15" s="285"/>
      <c r="F15" s="286">
        <f>F13*F14</f>
        <v>21162.46</v>
      </c>
    </row>
    <row r="16" spans="2:24" x14ac:dyDescent="0.25">
      <c r="C16" s="287" t="s">
        <v>150</v>
      </c>
      <c r="D16" s="132"/>
      <c r="E16" s="289"/>
      <c r="F16" s="290">
        <v>-2202</v>
      </c>
    </row>
    <row r="17" spans="3:7" x14ac:dyDescent="0.25">
      <c r="C17" s="284" t="s">
        <v>151</v>
      </c>
      <c r="D17" s="263"/>
      <c r="E17" s="285"/>
      <c r="F17" s="286">
        <v>0</v>
      </c>
      <c r="G17" s="291"/>
    </row>
    <row r="18" spans="3:7" x14ac:dyDescent="0.25">
      <c r="C18" s="287" t="s">
        <v>152</v>
      </c>
      <c r="D18" s="132"/>
      <c r="E18" s="289"/>
      <c r="F18" s="292">
        <v>1984.3</v>
      </c>
    </row>
    <row r="19" spans="3:7" x14ac:dyDescent="0.25">
      <c r="C19" s="284" t="s">
        <v>153</v>
      </c>
      <c r="D19" s="263"/>
      <c r="E19" s="285"/>
      <c r="F19" s="286">
        <f>SUM(F15:F18)</f>
        <v>20944.759999999998</v>
      </c>
    </row>
    <row r="20" spans="3:7" x14ac:dyDescent="0.25">
      <c r="C20" s="293" t="s">
        <v>63</v>
      </c>
      <c r="D20" s="132"/>
      <c r="E20" s="294"/>
      <c r="F20" s="295">
        <v>121.9</v>
      </c>
    </row>
    <row r="21" spans="3:7" ht="15.75" thickBot="1" x14ac:dyDescent="0.3">
      <c r="C21" s="296" t="s">
        <v>141</v>
      </c>
      <c r="D21" s="270"/>
      <c r="E21" s="297"/>
      <c r="F21" s="345">
        <f>F19/F20</f>
        <v>171.81919606234615</v>
      </c>
    </row>
  </sheetData>
  <mergeCells count="4">
    <mergeCell ref="B1:X1"/>
    <mergeCell ref="C3:F3"/>
    <mergeCell ref="K3:M3"/>
    <mergeCell ref="C11:F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F391-DDDC-48D5-86FC-82A52400F151}">
  <sheetPr>
    <tabColor rgb="FF002060"/>
  </sheetPr>
  <dimension ref="B1:T42"/>
  <sheetViews>
    <sheetView showGridLines="0" zoomScale="130" zoomScaleNormal="130" workbookViewId="0">
      <selection activeCell="D18" sqref="D18"/>
    </sheetView>
  </sheetViews>
  <sheetFormatPr defaultColWidth="9.140625" defaultRowHeight="15" x14ac:dyDescent="0.25"/>
  <cols>
    <col min="1" max="1" width="9.140625" style="132"/>
    <col min="2" max="2" width="38.42578125" style="132" customWidth="1"/>
    <col min="3" max="3" width="16.42578125" style="132" customWidth="1"/>
    <col min="4" max="4" width="17.42578125" style="132" customWidth="1"/>
    <col min="5" max="5" width="50.42578125" style="132" bestFit="1" customWidth="1"/>
    <col min="6" max="13" width="16.42578125" style="132" customWidth="1"/>
    <col min="14" max="16384" width="9.140625" style="132"/>
  </cols>
  <sheetData>
    <row r="1" spans="2:20" ht="45.75" x14ac:dyDescent="0.65">
      <c r="B1" s="362" t="s">
        <v>154</v>
      </c>
      <c r="C1" s="362"/>
      <c r="D1" s="362"/>
      <c r="E1" s="362"/>
      <c r="F1" s="362"/>
      <c r="G1" s="362"/>
      <c r="H1" s="362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</row>
    <row r="2" spans="2:20" ht="15.75" thickBot="1" x14ac:dyDescent="0.3">
      <c r="E2"/>
      <c r="F2"/>
      <c r="G2"/>
      <c r="H2"/>
      <c r="I2"/>
      <c r="J2"/>
    </row>
    <row r="3" spans="2:20" ht="18.75" x14ac:dyDescent="0.3">
      <c r="B3" s="363" t="s">
        <v>155</v>
      </c>
      <c r="C3" s="389"/>
      <c r="D3" s="26"/>
      <c r="E3" s="363" t="s">
        <v>156</v>
      </c>
      <c r="F3" s="364"/>
      <c r="G3"/>
      <c r="H3"/>
      <c r="I3"/>
      <c r="J3"/>
    </row>
    <row r="4" spans="2:20" ht="18.75" x14ac:dyDescent="0.3">
      <c r="B4" s="473" t="s">
        <v>157</v>
      </c>
      <c r="C4" s="474"/>
      <c r="D4" s="26"/>
      <c r="E4" s="347" t="s">
        <v>158</v>
      </c>
      <c r="F4" s="348"/>
      <c r="G4"/>
      <c r="H4"/>
      <c r="I4"/>
      <c r="J4"/>
    </row>
    <row r="5" spans="2:20" ht="18.75" x14ac:dyDescent="0.3">
      <c r="B5" s="408" t="s">
        <v>159</v>
      </c>
      <c r="C5" s="409">
        <v>0.5</v>
      </c>
      <c r="D5" s="336"/>
      <c r="E5" s="349" t="s">
        <v>160</v>
      </c>
      <c r="F5" s="350">
        <v>-695.5</v>
      </c>
      <c r="G5" s="2" t="s">
        <v>181</v>
      </c>
      <c r="H5"/>
      <c r="I5"/>
      <c r="J5"/>
    </row>
    <row r="6" spans="2:20" ht="18.75" x14ac:dyDescent="0.3">
      <c r="B6" s="62" t="s">
        <v>59</v>
      </c>
      <c r="C6" s="410">
        <v>0</v>
      </c>
      <c r="D6" s="26"/>
      <c r="E6" s="349" t="s">
        <v>161</v>
      </c>
      <c r="F6" s="350">
        <v>14978</v>
      </c>
      <c r="G6"/>
      <c r="H6"/>
      <c r="I6"/>
      <c r="J6"/>
    </row>
    <row r="7" spans="2:20" ht="18.75" x14ac:dyDescent="0.3">
      <c r="B7" s="62" t="s">
        <v>157</v>
      </c>
      <c r="C7" s="411">
        <v>7.0000000000000007E-2</v>
      </c>
      <c r="D7" s="26"/>
      <c r="E7" s="349" t="s">
        <v>53</v>
      </c>
      <c r="F7" s="351">
        <v>14282.5</v>
      </c>
      <c r="G7"/>
      <c r="H7"/>
      <c r="I7"/>
      <c r="J7"/>
    </row>
    <row r="8" spans="2:20" ht="18.75" x14ac:dyDescent="0.3">
      <c r="B8" s="62" t="s">
        <v>162</v>
      </c>
      <c r="C8" s="412">
        <v>37.4</v>
      </c>
      <c r="D8" s="26"/>
      <c r="E8" s="347"/>
      <c r="F8" s="352"/>
      <c r="G8"/>
      <c r="H8"/>
      <c r="I8"/>
      <c r="J8"/>
    </row>
    <row r="9" spans="2:20" ht="18.75" x14ac:dyDescent="0.3">
      <c r="B9" s="62" t="s">
        <v>163</v>
      </c>
      <c r="C9" s="412">
        <v>279.8</v>
      </c>
      <c r="D9" s="26"/>
      <c r="E9" s="349" t="s">
        <v>164</v>
      </c>
      <c r="F9" s="353">
        <v>-4.8695956590232806E-2</v>
      </c>
      <c r="G9"/>
      <c r="H9"/>
      <c r="I9"/>
      <c r="J9"/>
    </row>
    <row r="10" spans="2:20" ht="18.75" x14ac:dyDescent="0.3">
      <c r="B10" s="62" t="s">
        <v>165</v>
      </c>
      <c r="C10" s="413">
        <v>0.21</v>
      </c>
      <c r="D10" s="26"/>
      <c r="E10" s="349" t="s">
        <v>166</v>
      </c>
      <c r="F10" s="353">
        <v>1.0486959565902327</v>
      </c>
      <c r="G10"/>
      <c r="H10"/>
      <c r="I10"/>
      <c r="J10"/>
    </row>
    <row r="11" spans="2:20" ht="18.75" x14ac:dyDescent="0.3">
      <c r="B11" s="62" t="s">
        <v>167</v>
      </c>
      <c r="C11" s="414">
        <f>C7*(1-C10)</f>
        <v>5.5300000000000009E-2</v>
      </c>
      <c r="D11" s="26"/>
      <c r="E11" s="354" t="s">
        <v>168</v>
      </c>
      <c r="F11" s="355">
        <v>-4.6434770997462953E-2</v>
      </c>
      <c r="G11"/>
      <c r="H11"/>
      <c r="I11"/>
      <c r="J11"/>
    </row>
    <row r="12" spans="2:20" ht="18.75" x14ac:dyDescent="0.3">
      <c r="B12" s="471" t="s">
        <v>169</v>
      </c>
      <c r="C12" s="472"/>
      <c r="D12" s="26"/>
      <c r="E12" s="356"/>
      <c r="F12" s="357"/>
      <c r="G12"/>
      <c r="H12"/>
      <c r="I12"/>
      <c r="J12"/>
    </row>
    <row r="13" spans="2:20" ht="18.75" x14ac:dyDescent="0.3">
      <c r="B13" s="62" t="s">
        <v>170</v>
      </c>
      <c r="C13" s="413">
        <v>4.2500000000000003E-2</v>
      </c>
      <c r="D13" s="26"/>
      <c r="E13" s="358" t="s">
        <v>171</v>
      </c>
      <c r="F13" s="359"/>
      <c r="G13"/>
      <c r="H13"/>
      <c r="I13"/>
      <c r="J13"/>
    </row>
    <row r="14" spans="2:20" ht="18.75" x14ac:dyDescent="0.3">
      <c r="B14" s="62" t="s">
        <v>172</v>
      </c>
      <c r="C14" s="415">
        <v>2.35</v>
      </c>
      <c r="D14" s="26"/>
      <c r="E14" s="349" t="s">
        <v>170</v>
      </c>
      <c r="F14" s="360">
        <v>4.2500000000000003E-2</v>
      </c>
      <c r="G14"/>
      <c r="H14"/>
      <c r="I14"/>
      <c r="J14"/>
    </row>
    <row r="15" spans="2:20" ht="18.75" x14ac:dyDescent="0.3">
      <c r="B15" s="62" t="s">
        <v>173</v>
      </c>
      <c r="C15" s="416">
        <v>0.08</v>
      </c>
      <c r="D15" s="336"/>
      <c r="E15" s="349" t="s">
        <v>174</v>
      </c>
      <c r="F15" s="360">
        <v>6.0199999999999997E-2</v>
      </c>
      <c r="G15"/>
      <c r="H15"/>
      <c r="I15"/>
      <c r="J15"/>
    </row>
    <row r="16" spans="2:20" ht="18.75" x14ac:dyDescent="0.3">
      <c r="B16" s="62" t="s">
        <v>169</v>
      </c>
      <c r="C16" s="417">
        <f>(C13)+(C14)*(C15-C13)</f>
        <v>0.13062499999999999</v>
      </c>
      <c r="D16" s="336"/>
      <c r="E16" s="361" t="s">
        <v>175</v>
      </c>
      <c r="F16" s="390">
        <v>1.83E-2</v>
      </c>
      <c r="G16"/>
      <c r="H16"/>
      <c r="I16"/>
      <c r="J16"/>
    </row>
    <row r="17" spans="2:10" ht="18.75" x14ac:dyDescent="0.3">
      <c r="B17" s="471" t="s">
        <v>176</v>
      </c>
      <c r="C17" s="472"/>
      <c r="D17" s="26"/>
      <c r="E17" s="354" t="s">
        <v>169</v>
      </c>
      <c r="F17" s="355">
        <v>4.360166E-2</v>
      </c>
      <c r="G17"/>
      <c r="H17"/>
      <c r="I17"/>
      <c r="J17"/>
    </row>
    <row r="18" spans="2:10" ht="18.75" x14ac:dyDescent="0.3">
      <c r="B18" s="62" t="s">
        <v>59</v>
      </c>
      <c r="C18" s="410">
        <f>C6</f>
        <v>0</v>
      </c>
      <c r="D18" s="386">
        <f>C18/C20</f>
        <v>0</v>
      </c>
      <c r="E18" s="356"/>
      <c r="F18" s="357"/>
      <c r="G18"/>
    </row>
    <row r="19" spans="2:10" ht="18.75" x14ac:dyDescent="0.3">
      <c r="B19" s="62" t="s">
        <v>103</v>
      </c>
      <c r="C19" s="418">
        <v>13223.7</v>
      </c>
      <c r="D19" s="386">
        <f>C19/C20</f>
        <v>1</v>
      </c>
      <c r="E19" s="358" t="s">
        <v>177</v>
      </c>
      <c r="F19" s="359"/>
    </row>
    <row r="20" spans="2:10" ht="18.75" x14ac:dyDescent="0.3">
      <c r="B20" s="62" t="s">
        <v>29</v>
      </c>
      <c r="C20" s="419">
        <f>C18+C19</f>
        <v>13223.7</v>
      </c>
      <c r="D20" s="373"/>
      <c r="E20" s="349" t="s">
        <v>159</v>
      </c>
      <c r="F20" s="374">
        <v>0.6</v>
      </c>
    </row>
    <row r="21" spans="2:10" ht="18.75" x14ac:dyDescent="0.3">
      <c r="B21" s="62"/>
      <c r="C21" s="412"/>
      <c r="D21" s="26"/>
      <c r="E21" s="349" t="s">
        <v>59</v>
      </c>
      <c r="F21" s="350">
        <v>385</v>
      </c>
    </row>
    <row r="22" spans="2:10" ht="19.5" thickBot="1" x14ac:dyDescent="0.35">
      <c r="B22" s="420" t="s">
        <v>41</v>
      </c>
      <c r="C22" s="421">
        <f>(C7*D18)+(C16*D19)</f>
        <v>0.13062499999999999</v>
      </c>
      <c r="D22" s="26"/>
      <c r="E22" s="349" t="s">
        <v>178</v>
      </c>
      <c r="F22" s="353">
        <v>1.5584415584415584E-3</v>
      </c>
    </row>
    <row r="23" spans="2:10" ht="18.75" x14ac:dyDescent="0.3">
      <c r="B23" s="387"/>
      <c r="C23" s="387"/>
      <c r="D23" s="26"/>
      <c r="E23" s="361" t="s">
        <v>13</v>
      </c>
      <c r="F23" s="353">
        <v>0.17699999999999999</v>
      </c>
    </row>
    <row r="24" spans="2:10" ht="18.75" x14ac:dyDescent="0.3">
      <c r="B24" s="387" t="s">
        <v>179</v>
      </c>
      <c r="C24" s="388">
        <f>C14*0.05+C13</f>
        <v>0.16</v>
      </c>
      <c r="D24" s="26"/>
      <c r="E24" s="354" t="s">
        <v>180</v>
      </c>
      <c r="F24" s="355">
        <v>1.2825974025974026E-3</v>
      </c>
    </row>
    <row r="25" spans="2:10" ht="18.75" x14ac:dyDescent="0.3">
      <c r="B25"/>
      <c r="C25"/>
      <c r="D25" s="26"/>
      <c r="E25" s="349"/>
      <c r="F25" s="357"/>
    </row>
    <row r="26" spans="2:10" ht="19.5" thickBot="1" x14ac:dyDescent="0.35">
      <c r="B26"/>
      <c r="C26"/>
      <c r="D26" s="26"/>
      <c r="E26" s="391" t="s">
        <v>41</v>
      </c>
      <c r="F26" s="392">
        <v>4.5662427235182455E-2</v>
      </c>
    </row>
    <row r="27" spans="2:10" ht="18.75" x14ac:dyDescent="0.3">
      <c r="B27" s="26"/>
      <c r="C27" s="26"/>
      <c r="D27" s="26"/>
      <c r="E27"/>
      <c r="F27"/>
    </row>
    <row r="28" spans="2:10" ht="18.75" x14ac:dyDescent="0.3">
      <c r="B28" s="26"/>
      <c r="C28" s="26"/>
      <c r="D28" s="26"/>
      <c r="E28"/>
      <c r="F28"/>
    </row>
    <row r="29" spans="2:10" ht="18.75" x14ac:dyDescent="0.3">
      <c r="B29" s="26"/>
      <c r="C29" s="26"/>
      <c r="D29" s="26"/>
      <c r="E29"/>
      <c r="F29"/>
    </row>
    <row r="30" spans="2:10" x14ac:dyDescent="0.25">
      <c r="E30"/>
      <c r="F30"/>
    </row>
    <row r="31" spans="2:10" x14ac:dyDescent="0.25">
      <c r="E31"/>
      <c r="F31"/>
    </row>
    <row r="32" spans="2:10" x14ac:dyDescent="0.25">
      <c r="E32"/>
      <c r="F32"/>
    </row>
    <row r="33" spans="5:6" x14ac:dyDescent="0.25">
      <c r="E33"/>
      <c r="F33"/>
    </row>
    <row r="34" spans="5:6" x14ac:dyDescent="0.25">
      <c r="E34"/>
      <c r="F34"/>
    </row>
    <row r="35" spans="5:6" x14ac:dyDescent="0.25">
      <c r="E35"/>
      <c r="F35"/>
    </row>
    <row r="36" spans="5:6" x14ac:dyDescent="0.25">
      <c r="E36"/>
      <c r="F36"/>
    </row>
    <row r="37" spans="5:6" x14ac:dyDescent="0.25">
      <c r="E37"/>
      <c r="F37"/>
    </row>
    <row r="38" spans="5:6" x14ac:dyDescent="0.25">
      <c r="E38"/>
      <c r="F38"/>
    </row>
    <row r="39" spans="5:6" x14ac:dyDescent="0.25">
      <c r="E39"/>
      <c r="F39"/>
    </row>
    <row r="40" spans="5:6" x14ac:dyDescent="0.25">
      <c r="E40"/>
      <c r="F40"/>
    </row>
    <row r="41" spans="5:6" x14ac:dyDescent="0.25">
      <c r="E41"/>
      <c r="F41"/>
    </row>
    <row r="42" spans="5:6" x14ac:dyDescent="0.25">
      <c r="E42"/>
      <c r="F42"/>
    </row>
  </sheetData>
  <mergeCells count="3">
    <mergeCell ref="B17:C17"/>
    <mergeCell ref="B4:C4"/>
    <mergeCell ref="B12:C12"/>
  </mergeCells>
  <pageMargins left="0.7" right="0.7" top="0.75" bottom="0.75" header="0.3" footer="0.3"/>
  <pageSetup scale="2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0D4D-299A-4079-B088-7F7EEBBF945C}">
  <sheetPr>
    <tabColor rgb="FFFF0000"/>
  </sheetPr>
  <dimension ref="B1:V56"/>
  <sheetViews>
    <sheetView zoomScale="80" zoomScaleNormal="80" workbookViewId="0">
      <selection activeCell="E18" sqref="E18:I18"/>
    </sheetView>
  </sheetViews>
  <sheetFormatPr defaultColWidth="8.7109375" defaultRowHeight="15" x14ac:dyDescent="0.25"/>
  <cols>
    <col min="1" max="1" width="8.7109375" style="25"/>
    <col min="2" max="2" width="44" style="25" customWidth="1"/>
    <col min="3" max="10" width="16.7109375" style="25" customWidth="1"/>
    <col min="11" max="11" width="36.140625" style="25" customWidth="1"/>
    <col min="12" max="12" width="14.7109375" style="25" customWidth="1"/>
    <col min="13" max="13" width="16.7109375" style="25" customWidth="1"/>
    <col min="14" max="14" width="35.85546875" style="25" customWidth="1"/>
    <col min="15" max="15" width="14.140625" style="25" customWidth="1"/>
    <col min="16" max="22" width="16.7109375" style="25" customWidth="1"/>
    <col min="23" max="16384" width="8.7109375" style="25"/>
  </cols>
  <sheetData>
    <row r="1" spans="2:22" ht="45.75" x14ac:dyDescent="0.65">
      <c r="B1" s="434" t="s">
        <v>72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</row>
    <row r="3" spans="2:22" ht="18.75" x14ac:dyDescent="0.3">
      <c r="B3" s="122" t="s">
        <v>37</v>
      </c>
      <c r="C3" s="123">
        <v>2024</v>
      </c>
      <c r="D3" s="124">
        <v>2025</v>
      </c>
      <c r="E3" s="124">
        <v>2026</v>
      </c>
      <c r="F3" s="124">
        <v>2027</v>
      </c>
      <c r="G3" s="124">
        <v>2028</v>
      </c>
      <c r="H3" s="124">
        <v>2029</v>
      </c>
      <c r="I3" s="124">
        <v>2030</v>
      </c>
      <c r="J3" s="101"/>
      <c r="K3" s="439" t="s">
        <v>199</v>
      </c>
      <c r="L3" s="439"/>
      <c r="M3" s="101"/>
      <c r="N3" s="439" t="s">
        <v>199</v>
      </c>
      <c r="O3" s="439"/>
      <c r="P3" s="101"/>
      <c r="Q3" s="101"/>
      <c r="R3" s="101"/>
      <c r="S3" s="101"/>
      <c r="T3" s="101"/>
    </row>
    <row r="4" spans="2:22" ht="18.75" x14ac:dyDescent="0.3">
      <c r="B4" s="27"/>
      <c r="C4" s="28" t="s">
        <v>40</v>
      </c>
      <c r="D4" s="27"/>
      <c r="E4" s="27"/>
      <c r="F4" s="27"/>
      <c r="G4" s="27"/>
      <c r="H4" s="27"/>
      <c r="I4" s="27"/>
      <c r="J4" s="101"/>
      <c r="K4" s="26" t="s">
        <v>41</v>
      </c>
      <c r="L4" s="29">
        <f>C39</f>
        <v>9.8000000000000004E-2</v>
      </c>
      <c r="M4" s="101"/>
      <c r="N4" s="26" t="s">
        <v>41</v>
      </c>
      <c r="O4" s="29">
        <f>F39</f>
        <v>9.8000000000000004E-2</v>
      </c>
      <c r="P4" s="101"/>
      <c r="Q4" s="101"/>
      <c r="R4" s="101"/>
      <c r="S4" s="101"/>
      <c r="T4" s="101"/>
    </row>
    <row r="5" spans="2:22" ht="18.75" x14ac:dyDescent="0.3">
      <c r="B5" s="32" t="s">
        <v>1</v>
      </c>
      <c r="C5" s="33">
        <f>Historicals!I6</f>
        <v>10588.1</v>
      </c>
      <c r="D5" s="34">
        <f t="shared" ref="D5:I5" si="0">C5*(1+D6)</f>
        <v>11382.2075</v>
      </c>
      <c r="E5" s="34">
        <f t="shared" si="0"/>
        <v>12292.784100000001</v>
      </c>
      <c r="F5" s="34">
        <f t="shared" si="0"/>
        <v>13276.206828000002</v>
      </c>
      <c r="G5" s="34">
        <f t="shared" si="0"/>
        <v>14205.541305960003</v>
      </c>
      <c r="H5" s="34">
        <f t="shared" si="0"/>
        <v>14915.818371258005</v>
      </c>
      <c r="I5" s="34">
        <f t="shared" si="0"/>
        <v>15661.609289820906</v>
      </c>
      <c r="J5" s="101"/>
      <c r="K5" s="26" t="s">
        <v>203</v>
      </c>
      <c r="L5" s="102">
        <f>I5</f>
        <v>15661.609289820906</v>
      </c>
      <c r="M5" s="101"/>
      <c r="N5" s="26" t="s">
        <v>203</v>
      </c>
      <c r="O5" s="102">
        <f>I5</f>
        <v>15661.609289820906</v>
      </c>
      <c r="P5" s="101"/>
      <c r="Q5" s="101"/>
      <c r="R5" s="101"/>
      <c r="S5" s="101"/>
      <c r="T5" s="101"/>
    </row>
    <row r="6" spans="2:22" ht="18.75" x14ac:dyDescent="0.3">
      <c r="B6" s="38" t="s">
        <v>3</v>
      </c>
      <c r="C6" s="39">
        <f>Historicals!I7</f>
        <v>0.10071418918216524</v>
      </c>
      <c r="D6" s="40">
        <v>7.4999999999999997E-2</v>
      </c>
      <c r="E6" s="40">
        <v>0.08</v>
      </c>
      <c r="F6" s="40">
        <v>0.08</v>
      </c>
      <c r="G6" s="40">
        <v>7.0000000000000007E-2</v>
      </c>
      <c r="H6" s="40">
        <v>0.05</v>
      </c>
      <c r="I6" s="40">
        <v>0.05</v>
      </c>
      <c r="J6" s="101"/>
      <c r="K6" s="26" t="s">
        <v>202</v>
      </c>
      <c r="L6" s="402">
        <v>1.64</v>
      </c>
      <c r="M6" s="380"/>
      <c r="N6" s="26" t="s">
        <v>202</v>
      </c>
      <c r="O6" s="402">
        <v>2.2000000000000002</v>
      </c>
      <c r="P6" s="101"/>
      <c r="Q6" s="101"/>
      <c r="R6" s="101"/>
      <c r="S6" s="101"/>
      <c r="T6" s="101"/>
    </row>
    <row r="7" spans="2:22" ht="18.75" x14ac:dyDescent="0.3">
      <c r="B7" s="44"/>
      <c r="C7" s="28"/>
      <c r="D7" s="27"/>
      <c r="E7" s="27"/>
      <c r="F7" s="27"/>
      <c r="G7" s="27"/>
      <c r="H7" s="27"/>
      <c r="I7" s="27"/>
      <c r="J7" s="101"/>
      <c r="K7" s="26" t="s">
        <v>51</v>
      </c>
      <c r="L7" s="102">
        <f>L5*L6</f>
        <v>25685.039235306285</v>
      </c>
      <c r="M7" s="101"/>
      <c r="N7" s="26" t="s">
        <v>51</v>
      </c>
      <c r="O7" s="102">
        <f>O5*O6</f>
        <v>34455.540437605996</v>
      </c>
      <c r="P7" s="101"/>
      <c r="Q7" s="101"/>
      <c r="R7" s="101"/>
      <c r="S7" s="101"/>
      <c r="T7" s="101"/>
    </row>
    <row r="8" spans="2:22" ht="18.75" x14ac:dyDescent="0.3">
      <c r="B8" s="46" t="s">
        <v>4</v>
      </c>
      <c r="C8" s="33">
        <f>Historicals!I9</f>
        <v>2952.2</v>
      </c>
      <c r="D8" s="34">
        <f t="shared" ref="D8:I8" si="1">D9*D5</f>
        <v>3517.1021175000001</v>
      </c>
      <c r="E8" s="34">
        <f t="shared" si="1"/>
        <v>3798.4702869000002</v>
      </c>
      <c r="F8" s="34">
        <f t="shared" si="1"/>
        <v>4089.0717030240007</v>
      </c>
      <c r="G8" s="34">
        <f t="shared" si="1"/>
        <v>4361.1011809297206</v>
      </c>
      <c r="H8" s="34">
        <f t="shared" si="1"/>
        <v>4564.240421604949</v>
      </c>
      <c r="I8" s="34">
        <f t="shared" si="1"/>
        <v>4776.7908333953765</v>
      </c>
      <c r="J8" s="101"/>
      <c r="K8" s="26" t="s">
        <v>52</v>
      </c>
      <c r="L8" s="50">
        <f>1/((1+I39)^(I3-D3))</f>
        <v>0.62659698294540167</v>
      </c>
      <c r="M8" s="101"/>
      <c r="N8" s="26" t="s">
        <v>52</v>
      </c>
      <c r="O8" s="50">
        <f>1/((1+I39)^(I3-D3))</f>
        <v>0.62659698294540167</v>
      </c>
      <c r="P8" s="101"/>
      <c r="Q8" s="101"/>
      <c r="R8" s="101"/>
      <c r="S8" s="101"/>
      <c r="T8" s="101"/>
    </row>
    <row r="9" spans="2:22" ht="18.75" x14ac:dyDescent="0.3">
      <c r="B9" s="38" t="s">
        <v>6</v>
      </c>
      <c r="C9" s="39">
        <f>Historicals!I10</f>
        <v>0.27882245162021513</v>
      </c>
      <c r="D9" s="40">
        <v>0.309</v>
      </c>
      <c r="E9" s="40">
        <v>0.309</v>
      </c>
      <c r="F9" s="40">
        <f t="shared" ref="F9:I9" si="2">E9-0.001</f>
        <v>0.308</v>
      </c>
      <c r="G9" s="40">
        <f t="shared" si="2"/>
        <v>0.307</v>
      </c>
      <c r="H9" s="40">
        <f t="shared" si="2"/>
        <v>0.30599999999999999</v>
      </c>
      <c r="I9" s="40">
        <f t="shared" si="2"/>
        <v>0.30499999999999999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2:22" ht="18.75" x14ac:dyDescent="0.3">
      <c r="B10" s="44"/>
      <c r="C10" s="28"/>
      <c r="D10" s="27"/>
      <c r="E10" s="27"/>
      <c r="F10" s="27"/>
      <c r="G10" s="27"/>
      <c r="H10" s="27"/>
      <c r="I10" s="27"/>
      <c r="J10" s="101"/>
      <c r="K10" s="126" t="s">
        <v>74</v>
      </c>
      <c r="L10" s="127"/>
      <c r="M10" s="101"/>
      <c r="N10" s="126" t="s">
        <v>74</v>
      </c>
      <c r="O10" s="127"/>
      <c r="P10" s="101"/>
      <c r="Q10" s="101"/>
      <c r="R10" s="101"/>
      <c r="S10" s="101"/>
      <c r="T10" s="101"/>
    </row>
    <row r="11" spans="2:22" ht="18.75" x14ac:dyDescent="0.3">
      <c r="B11" s="46" t="s">
        <v>7</v>
      </c>
      <c r="C11" s="33">
        <f>Historicals!I12</f>
        <v>446.5</v>
      </c>
      <c r="D11" s="34">
        <f t="shared" ref="D11:I11" si="3">D12*D5</f>
        <v>455.28830000000005</v>
      </c>
      <c r="E11" s="34">
        <f t="shared" si="3"/>
        <v>491.71136400000006</v>
      </c>
      <c r="F11" s="34">
        <f t="shared" si="3"/>
        <v>531.04827312000009</v>
      </c>
      <c r="G11" s="34">
        <f t="shared" si="3"/>
        <v>568.22165223840011</v>
      </c>
      <c r="H11" s="34">
        <f t="shared" si="3"/>
        <v>596.63273485032016</v>
      </c>
      <c r="I11" s="34">
        <f t="shared" si="3"/>
        <v>626.4643715928363</v>
      </c>
      <c r="J11" s="101"/>
      <c r="K11" s="26" t="s">
        <v>54</v>
      </c>
      <c r="L11" s="103">
        <f>SUM(D43:I43)</f>
        <v>10315.962049221027</v>
      </c>
      <c r="M11" s="101"/>
      <c r="N11" s="26" t="s">
        <v>54</v>
      </c>
      <c r="O11" s="103">
        <f>SUM(D43:I43)</f>
        <v>10315.962049221027</v>
      </c>
      <c r="P11" s="101"/>
      <c r="Q11" s="101"/>
      <c r="R11" s="101"/>
      <c r="S11" s="101"/>
      <c r="T11" s="101"/>
    </row>
    <row r="12" spans="2:22" ht="18.75" x14ac:dyDescent="0.3">
      <c r="B12" s="38" t="s">
        <v>17</v>
      </c>
      <c r="C12" s="39">
        <f>C11/C5</f>
        <v>4.216998328311973E-2</v>
      </c>
      <c r="D12" s="40">
        <v>0.04</v>
      </c>
      <c r="E12" s="40">
        <f t="shared" ref="E12:I12" si="4">D12</f>
        <v>0.04</v>
      </c>
      <c r="F12" s="40">
        <f t="shared" si="4"/>
        <v>0.04</v>
      </c>
      <c r="G12" s="40">
        <f t="shared" si="4"/>
        <v>0.04</v>
      </c>
      <c r="H12" s="40">
        <f t="shared" si="4"/>
        <v>0.04</v>
      </c>
      <c r="I12" s="40">
        <f t="shared" si="4"/>
        <v>0.04</v>
      </c>
      <c r="J12" s="101"/>
      <c r="K12" s="26" t="s">
        <v>55</v>
      </c>
      <c r="L12" s="53">
        <f>L7*L8</f>
        <v>16094.168091677186</v>
      </c>
      <c r="M12" s="101"/>
      <c r="N12" s="26" t="s">
        <v>55</v>
      </c>
      <c r="O12" s="53">
        <f>O7*O8</f>
        <v>21589.737683957203</v>
      </c>
      <c r="P12" s="101"/>
      <c r="Q12" s="101"/>
      <c r="R12" s="101"/>
      <c r="S12" s="101"/>
      <c r="T12" s="101"/>
    </row>
    <row r="13" spans="2:22" ht="18.75" x14ac:dyDescent="0.3">
      <c r="B13" s="44"/>
      <c r="C13" s="28"/>
      <c r="D13" s="27"/>
      <c r="E13" s="27"/>
      <c r="F13" s="27"/>
      <c r="G13" s="27"/>
      <c r="H13" s="27"/>
      <c r="I13" s="27"/>
      <c r="J13" s="101"/>
      <c r="K13" s="54" t="s">
        <v>56</v>
      </c>
      <c r="L13" s="55">
        <f>L12/L15</f>
        <v>0.60939374421158465</v>
      </c>
      <c r="M13" s="101"/>
      <c r="N13" s="54" t="s">
        <v>56</v>
      </c>
      <c r="O13" s="55">
        <f>O12/O15</f>
        <v>0.67667338013296663</v>
      </c>
      <c r="P13" s="101"/>
      <c r="Q13" s="101"/>
      <c r="R13" s="101"/>
      <c r="S13" s="101"/>
      <c r="T13" s="101"/>
    </row>
    <row r="14" spans="2:22" ht="18.75" x14ac:dyDescent="0.3">
      <c r="B14" s="46" t="s">
        <v>9</v>
      </c>
      <c r="C14" s="33">
        <f>C8-C11</f>
        <v>2505.6999999999998</v>
      </c>
      <c r="D14" s="51">
        <f t="shared" ref="D14:I14" si="5">D8-D11</f>
        <v>3061.8138174999999</v>
      </c>
      <c r="E14" s="51">
        <f t="shared" si="5"/>
        <v>3306.7589229</v>
      </c>
      <c r="F14" s="51">
        <f t="shared" si="5"/>
        <v>3558.0234299040007</v>
      </c>
      <c r="G14" s="51">
        <f t="shared" si="5"/>
        <v>3792.8795286913205</v>
      </c>
      <c r="H14" s="51">
        <f t="shared" si="5"/>
        <v>3967.607686754629</v>
      </c>
      <c r="I14" s="51">
        <f t="shared" si="5"/>
        <v>4150.3264618025405</v>
      </c>
      <c r="J14" s="101"/>
      <c r="K14" s="26"/>
      <c r="L14" s="53"/>
      <c r="M14" s="101"/>
      <c r="N14" s="26"/>
      <c r="O14" s="53"/>
      <c r="P14" s="101"/>
      <c r="Q14" s="101"/>
      <c r="R14" s="440"/>
      <c r="S14" s="440"/>
      <c r="T14" s="101"/>
    </row>
    <row r="15" spans="2:22" ht="18.75" x14ac:dyDescent="0.3">
      <c r="B15" s="38" t="s">
        <v>10</v>
      </c>
      <c r="C15" s="39">
        <f t="shared" ref="C15:I15" si="6">C14/C5</f>
        <v>0.23665246833709538</v>
      </c>
      <c r="D15" s="40">
        <f t="shared" si="6"/>
        <v>0.26899999999999996</v>
      </c>
      <c r="E15" s="40">
        <f t="shared" si="6"/>
        <v>0.26899999999999996</v>
      </c>
      <c r="F15" s="40">
        <f t="shared" si="6"/>
        <v>0.26800000000000002</v>
      </c>
      <c r="G15" s="40">
        <f t="shared" si="6"/>
        <v>0.26699999999999996</v>
      </c>
      <c r="H15" s="40">
        <f t="shared" si="6"/>
        <v>0.26599999999999996</v>
      </c>
      <c r="I15" s="40">
        <f t="shared" si="6"/>
        <v>0.26500000000000001</v>
      </c>
      <c r="J15" s="101"/>
      <c r="K15" s="26" t="s">
        <v>53</v>
      </c>
      <c r="L15" s="53">
        <f>L11+L12</f>
        <v>26410.130140898211</v>
      </c>
      <c r="M15" s="101"/>
      <c r="N15" s="26" t="s">
        <v>53</v>
      </c>
      <c r="O15" s="53">
        <f>O11+O12</f>
        <v>31905.69973317823</v>
      </c>
      <c r="P15" s="101"/>
      <c r="Q15" s="101"/>
      <c r="R15" s="27"/>
      <c r="S15" s="104"/>
      <c r="T15" s="101"/>
    </row>
    <row r="16" spans="2:22" ht="18.75" x14ac:dyDescent="0.3">
      <c r="B16" s="44"/>
      <c r="C16" s="28"/>
      <c r="D16" s="27"/>
      <c r="E16" s="27"/>
      <c r="F16" s="27"/>
      <c r="G16" s="27"/>
      <c r="H16" s="27"/>
      <c r="I16" s="27"/>
      <c r="J16" s="101"/>
      <c r="K16" s="26"/>
      <c r="L16" s="57"/>
      <c r="M16" s="101"/>
      <c r="N16" s="26"/>
      <c r="O16" s="57"/>
      <c r="P16" s="101"/>
      <c r="Q16" s="101"/>
      <c r="R16" s="27"/>
      <c r="S16" s="104"/>
      <c r="T16" s="101"/>
    </row>
    <row r="17" spans="2:20" ht="18.75" x14ac:dyDescent="0.3">
      <c r="B17" s="46" t="s">
        <v>11</v>
      </c>
      <c r="C17" s="33">
        <f>Historicals!I18</f>
        <v>761.5</v>
      </c>
      <c r="D17" s="51">
        <f t="shared" ref="D17:I17" si="7">D14*D18</f>
        <v>887.92600707499992</v>
      </c>
      <c r="E17" s="51">
        <f t="shared" si="7"/>
        <v>958.96008764099997</v>
      </c>
      <c r="F17" s="51">
        <f t="shared" si="7"/>
        <v>1031.8267946721601</v>
      </c>
      <c r="G17" s="51">
        <f t="shared" si="7"/>
        <v>1099.9350633204829</v>
      </c>
      <c r="H17" s="51">
        <f t="shared" si="7"/>
        <v>1150.6062291588423</v>
      </c>
      <c r="I17" s="51">
        <f t="shared" si="7"/>
        <v>1203.5946739227368</v>
      </c>
      <c r="J17" s="101"/>
      <c r="K17" s="126" t="s">
        <v>58</v>
      </c>
      <c r="L17" s="128"/>
      <c r="M17" s="101"/>
      <c r="N17" s="126" t="s">
        <v>58</v>
      </c>
      <c r="O17" s="128"/>
      <c r="P17" s="101"/>
      <c r="Q17" s="101"/>
      <c r="R17" s="26"/>
      <c r="S17" s="105"/>
      <c r="T17" s="101"/>
    </row>
    <row r="18" spans="2:20" ht="18.75" x14ac:dyDescent="0.3">
      <c r="B18" s="38" t="s">
        <v>13</v>
      </c>
      <c r="C18" s="56">
        <f>C17/C14</f>
        <v>0.3039070918306262</v>
      </c>
      <c r="D18" s="40">
        <v>0.28999999999999998</v>
      </c>
      <c r="E18" s="40">
        <v>0.28999999999999998</v>
      </c>
      <c r="F18" s="40">
        <v>0.28999999999999998</v>
      </c>
      <c r="G18" s="40">
        <v>0.28999999999999998</v>
      </c>
      <c r="H18" s="40">
        <v>0.28999999999999998</v>
      </c>
      <c r="I18" s="40">
        <v>0.28999999999999998</v>
      </c>
      <c r="J18" s="101"/>
      <c r="K18" s="26" t="s">
        <v>53</v>
      </c>
      <c r="L18" s="53">
        <f>L15</f>
        <v>26410.130140898211</v>
      </c>
      <c r="M18" s="101"/>
      <c r="N18" s="26" t="s">
        <v>53</v>
      </c>
      <c r="O18" s="53">
        <f>O15</f>
        <v>31905.69973317823</v>
      </c>
      <c r="P18" s="101"/>
      <c r="Q18" s="101"/>
      <c r="R18" s="26"/>
      <c r="S18" s="104"/>
      <c r="T18" s="101"/>
    </row>
    <row r="19" spans="2:20" ht="18.75" x14ac:dyDescent="0.3">
      <c r="B19" s="38"/>
      <c r="C19" s="40"/>
      <c r="D19" s="40"/>
      <c r="E19" s="40"/>
      <c r="F19" s="40"/>
      <c r="G19" s="40"/>
      <c r="H19" s="40"/>
      <c r="I19" s="40"/>
      <c r="J19" s="101"/>
      <c r="K19" s="26" t="s">
        <v>59</v>
      </c>
      <c r="L19" s="58"/>
      <c r="M19" s="101"/>
      <c r="N19" s="26" t="s">
        <v>59</v>
      </c>
      <c r="O19" s="58"/>
      <c r="P19" s="101"/>
      <c r="Q19" s="101"/>
      <c r="R19" s="26"/>
      <c r="S19" s="106"/>
      <c r="T19" s="101"/>
    </row>
    <row r="20" spans="2:20" ht="18.75" x14ac:dyDescent="0.3">
      <c r="B20" s="122" t="s">
        <v>57</v>
      </c>
      <c r="C20" s="125">
        <v>2024</v>
      </c>
      <c r="D20" s="124">
        <v>2025</v>
      </c>
      <c r="E20" s="124">
        <v>2026</v>
      </c>
      <c r="F20" s="124">
        <v>2027</v>
      </c>
      <c r="G20" s="124">
        <v>2028</v>
      </c>
      <c r="H20" s="124">
        <v>2029</v>
      </c>
      <c r="I20" s="124">
        <v>2030</v>
      </c>
      <c r="J20" s="101"/>
      <c r="K20" s="26" t="s">
        <v>60</v>
      </c>
      <c r="L20" s="58">
        <v>0</v>
      </c>
      <c r="M20" s="101"/>
      <c r="N20" s="26" t="s">
        <v>60</v>
      </c>
      <c r="O20" s="58">
        <v>0</v>
      </c>
      <c r="P20" s="101"/>
      <c r="Q20" s="101"/>
      <c r="R20" s="101"/>
      <c r="S20" s="101"/>
      <c r="T20" s="101"/>
    </row>
    <row r="21" spans="2:20" ht="18.75" x14ac:dyDescent="0.3">
      <c r="B21" s="27"/>
      <c r="C21" s="28"/>
      <c r="D21" s="27"/>
      <c r="E21" s="27"/>
      <c r="F21" s="27"/>
      <c r="G21" s="27"/>
      <c r="H21" s="27"/>
      <c r="I21" s="27"/>
      <c r="J21" s="101"/>
      <c r="K21" s="26" t="s">
        <v>61</v>
      </c>
      <c r="L21" s="53">
        <v>1984.3</v>
      </c>
      <c r="M21" s="101"/>
      <c r="N21" s="26" t="s">
        <v>61</v>
      </c>
      <c r="O21" s="53">
        <v>1984.3</v>
      </c>
      <c r="P21" s="101"/>
      <c r="Q21" s="101"/>
      <c r="R21" s="101"/>
      <c r="S21" s="101"/>
      <c r="T21" s="101"/>
    </row>
    <row r="22" spans="2:20" ht="18.75" x14ac:dyDescent="0.3">
      <c r="B22" s="46" t="s">
        <v>15</v>
      </c>
      <c r="C22" s="33">
        <f t="shared" ref="C22:I22" si="8">C14-C17</f>
        <v>1744.1999999999998</v>
      </c>
      <c r="D22" s="34">
        <f t="shared" si="8"/>
        <v>2173.8878104249998</v>
      </c>
      <c r="E22" s="34">
        <f t="shared" si="8"/>
        <v>2347.798835259</v>
      </c>
      <c r="F22" s="34">
        <f t="shared" si="8"/>
        <v>2526.1966352318404</v>
      </c>
      <c r="G22" s="34">
        <f t="shared" si="8"/>
        <v>2692.9444653708379</v>
      </c>
      <c r="H22" s="34">
        <f t="shared" si="8"/>
        <v>2817.0014575957866</v>
      </c>
      <c r="I22" s="34">
        <f t="shared" si="8"/>
        <v>2946.731787879804</v>
      </c>
      <c r="J22" s="101"/>
      <c r="K22" s="26" t="s">
        <v>62</v>
      </c>
      <c r="L22" s="53">
        <f>SUM(L18:L21)</f>
        <v>28394.43014089821</v>
      </c>
      <c r="M22" s="101"/>
      <c r="N22" s="26" t="s">
        <v>62</v>
      </c>
      <c r="O22" s="53">
        <f>SUM(O18:O21)</f>
        <v>33889.999733178229</v>
      </c>
      <c r="P22" s="101"/>
      <c r="Q22" s="101"/>
      <c r="R22" s="101"/>
      <c r="S22" s="101"/>
      <c r="T22" s="101"/>
    </row>
    <row r="23" spans="2:20" ht="18.75" x14ac:dyDescent="0.3">
      <c r="B23" s="44"/>
      <c r="C23" s="28"/>
      <c r="D23" s="27"/>
      <c r="E23" s="27"/>
      <c r="F23" s="27"/>
      <c r="G23" s="27"/>
      <c r="H23" s="27"/>
      <c r="I23" s="27"/>
      <c r="J23" s="101"/>
      <c r="K23" s="26" t="s">
        <v>63</v>
      </c>
      <c r="L23" s="96">
        <v>121.9</v>
      </c>
      <c r="M23" s="101"/>
      <c r="N23" s="26" t="s">
        <v>63</v>
      </c>
      <c r="O23" s="96">
        <v>121.9</v>
      </c>
      <c r="P23" s="101"/>
      <c r="Q23" s="101"/>
      <c r="R23" s="101"/>
      <c r="S23" s="101"/>
      <c r="T23" s="101"/>
    </row>
    <row r="24" spans="2:20" ht="19.5" thickBot="1" x14ac:dyDescent="0.35">
      <c r="B24" s="46" t="s">
        <v>16</v>
      </c>
      <c r="C24" s="33">
        <f t="shared" ref="C24:I24" si="9">C11</f>
        <v>446.5</v>
      </c>
      <c r="D24" s="34">
        <f t="shared" si="9"/>
        <v>455.28830000000005</v>
      </c>
      <c r="E24" s="34">
        <f t="shared" si="9"/>
        <v>491.71136400000006</v>
      </c>
      <c r="F24" s="34">
        <f t="shared" si="9"/>
        <v>531.04827312000009</v>
      </c>
      <c r="G24" s="34">
        <f t="shared" si="9"/>
        <v>568.22165223840011</v>
      </c>
      <c r="H24" s="34">
        <f t="shared" si="9"/>
        <v>596.63273485032016</v>
      </c>
      <c r="I24" s="34">
        <f t="shared" si="9"/>
        <v>626.4643715928363</v>
      </c>
      <c r="J24" s="101"/>
      <c r="K24" s="126" t="s">
        <v>64</v>
      </c>
      <c r="L24" s="393">
        <f>L22/L23</f>
        <v>232.93215866200336</v>
      </c>
      <c r="M24" s="101"/>
      <c r="N24" s="126" t="s">
        <v>64</v>
      </c>
      <c r="O24" s="393">
        <f>O22/O23</f>
        <v>278.0147640129469</v>
      </c>
      <c r="P24" s="101"/>
      <c r="Q24" s="101"/>
      <c r="R24" s="101"/>
      <c r="S24" s="101"/>
      <c r="T24" s="101"/>
    </row>
    <row r="25" spans="2:20" ht="19.5" thickTop="1" x14ac:dyDescent="0.3">
      <c r="B25" s="38" t="s">
        <v>17</v>
      </c>
      <c r="C25" s="39">
        <f>C12</f>
        <v>4.216998328311973E-2</v>
      </c>
      <c r="D25" s="40">
        <f t="shared" ref="D25:I25" si="10">D24/D5</f>
        <v>0.04</v>
      </c>
      <c r="E25" s="40">
        <f t="shared" si="10"/>
        <v>0.04</v>
      </c>
      <c r="F25" s="40">
        <f t="shared" si="10"/>
        <v>0.04</v>
      </c>
      <c r="G25" s="40">
        <f t="shared" si="10"/>
        <v>0.04</v>
      </c>
      <c r="H25" s="40">
        <f t="shared" si="10"/>
        <v>0.04</v>
      </c>
      <c r="I25" s="40">
        <f t="shared" si="10"/>
        <v>0.04</v>
      </c>
      <c r="J25" s="101"/>
      <c r="K25" s="101"/>
      <c r="L25" s="101"/>
      <c r="M25" s="101"/>
      <c r="N25" s="26"/>
      <c r="O25" s="53"/>
      <c r="P25" s="101"/>
      <c r="Q25" s="101"/>
      <c r="R25" s="101"/>
      <c r="S25" s="101"/>
      <c r="T25" s="101"/>
    </row>
    <row r="26" spans="2:20" ht="18.75" x14ac:dyDescent="0.3">
      <c r="B26" s="44"/>
      <c r="C26" s="28"/>
      <c r="D26" s="27"/>
      <c r="E26" s="27"/>
      <c r="F26" s="27"/>
      <c r="G26" s="27"/>
      <c r="H26" s="27"/>
      <c r="I26" s="27"/>
      <c r="J26" s="101"/>
      <c r="K26" s="101"/>
      <c r="L26" s="101"/>
      <c r="M26" s="101"/>
      <c r="N26" s="26"/>
      <c r="O26" s="59"/>
      <c r="P26" s="101"/>
      <c r="Q26" s="101"/>
      <c r="R26" s="101"/>
      <c r="S26" s="101"/>
      <c r="T26" s="101"/>
    </row>
    <row r="27" spans="2:20" ht="18.75" x14ac:dyDescent="0.3">
      <c r="B27" s="46" t="s">
        <v>18</v>
      </c>
      <c r="C27" s="60">
        <f>Historicals!I26</f>
        <v>-689.2</v>
      </c>
      <c r="D27" s="61">
        <f t="shared" ref="D27:I27" si="11">D5*D28</f>
        <v>-705.696865</v>
      </c>
      <c r="E27" s="61">
        <f t="shared" si="11"/>
        <v>-762.15261420000002</v>
      </c>
      <c r="F27" s="61">
        <f t="shared" si="11"/>
        <v>-823.12482333600008</v>
      </c>
      <c r="G27" s="61">
        <f t="shared" si="11"/>
        <v>-880.74356096952022</v>
      </c>
      <c r="H27" s="61">
        <f t="shared" si="11"/>
        <v>-924.78073901799632</v>
      </c>
      <c r="I27" s="61">
        <f t="shared" si="11"/>
        <v>-971.01977596889617</v>
      </c>
      <c r="J27" s="101"/>
      <c r="K27" s="439" t="s">
        <v>144</v>
      </c>
      <c r="L27" s="439"/>
      <c r="R27" s="336"/>
      <c r="S27" s="101"/>
      <c r="T27" s="101"/>
    </row>
    <row r="28" spans="2:20" ht="18.75" x14ac:dyDescent="0.3">
      <c r="B28" s="38" t="s">
        <v>19</v>
      </c>
      <c r="C28" s="39">
        <f>C27/C5</f>
        <v>-6.5091942841491862E-2</v>
      </c>
      <c r="D28" s="40">
        <v>-6.2E-2</v>
      </c>
      <c r="E28" s="40">
        <f t="shared" ref="E28:I28" si="12">D28</f>
        <v>-6.2E-2</v>
      </c>
      <c r="F28" s="40">
        <f t="shared" si="12"/>
        <v>-6.2E-2</v>
      </c>
      <c r="G28" s="40">
        <f t="shared" si="12"/>
        <v>-6.2E-2</v>
      </c>
      <c r="H28" s="40">
        <f t="shared" si="12"/>
        <v>-6.2E-2</v>
      </c>
      <c r="I28" s="40">
        <f t="shared" si="12"/>
        <v>-6.2E-2</v>
      </c>
      <c r="J28" s="101"/>
      <c r="K28" s="26" t="s">
        <v>41</v>
      </c>
      <c r="L28" s="29">
        <f>C39</f>
        <v>9.8000000000000004E-2</v>
      </c>
      <c r="R28" s="101"/>
      <c r="S28" s="101"/>
      <c r="T28" s="101"/>
    </row>
    <row r="29" spans="2:20" ht="18.75" x14ac:dyDescent="0.3">
      <c r="B29" s="44"/>
      <c r="C29" s="28"/>
      <c r="D29" s="27"/>
      <c r="E29" s="27"/>
      <c r="F29" s="27"/>
      <c r="G29" s="27"/>
      <c r="H29" s="27"/>
      <c r="I29" s="27"/>
      <c r="J29" s="101"/>
      <c r="K29" s="26" t="s">
        <v>73</v>
      </c>
      <c r="L29" s="102">
        <f>I8</f>
        <v>4776.7908333953765</v>
      </c>
      <c r="R29" s="101"/>
      <c r="S29" s="101"/>
      <c r="T29" s="101"/>
    </row>
    <row r="30" spans="2:20" ht="18.75" x14ac:dyDescent="0.3">
      <c r="B30" s="46" t="s">
        <v>201</v>
      </c>
      <c r="C30" s="60">
        <f>Historicals!I29</f>
        <v>-4.7</v>
      </c>
      <c r="D30" s="61">
        <f>D31*D5</f>
        <v>0</v>
      </c>
      <c r="E30" s="61">
        <f t="shared" ref="E30:I30" si="13">E31*E5</f>
        <v>0</v>
      </c>
      <c r="F30" s="61">
        <f t="shared" si="13"/>
        <v>0</v>
      </c>
      <c r="G30" s="61">
        <f t="shared" si="13"/>
        <v>0</v>
      </c>
      <c r="H30" s="61">
        <f t="shared" si="13"/>
        <v>0</v>
      </c>
      <c r="I30" s="61">
        <f t="shared" si="13"/>
        <v>0</v>
      </c>
      <c r="J30" s="101"/>
      <c r="K30" s="26" t="s">
        <v>202</v>
      </c>
      <c r="L30" s="402">
        <f>'Indirect Valuation'!K7</f>
        <v>8.56</v>
      </c>
      <c r="R30" s="101"/>
      <c r="S30" s="101"/>
      <c r="T30" s="101"/>
    </row>
    <row r="31" spans="2:20" ht="18.75" x14ac:dyDescent="0.3">
      <c r="B31" s="38" t="s">
        <v>22</v>
      </c>
      <c r="C31" s="39">
        <f>C30/C5</f>
        <v>-4.4389456087494454E-4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101"/>
      <c r="K31" s="26" t="s">
        <v>51</v>
      </c>
      <c r="L31" s="102">
        <f>L29*L30</f>
        <v>40889.329533864424</v>
      </c>
      <c r="R31" s="101"/>
      <c r="S31" s="101"/>
      <c r="T31" s="101"/>
    </row>
    <row r="32" spans="2:20" ht="18.75" x14ac:dyDescent="0.3">
      <c r="B32" s="44"/>
      <c r="C32" s="28"/>
      <c r="D32" s="27"/>
      <c r="E32" s="27"/>
      <c r="F32" s="27"/>
      <c r="G32" s="27"/>
      <c r="H32" s="27"/>
      <c r="I32" s="27"/>
      <c r="J32" s="101"/>
      <c r="K32" s="26" t="s">
        <v>52</v>
      </c>
      <c r="L32" s="50">
        <f>1/((1+I39)^(I3-D3))</f>
        <v>0.62659698294540167</v>
      </c>
      <c r="R32" s="101"/>
      <c r="S32" s="101"/>
      <c r="T32" s="101"/>
    </row>
    <row r="33" spans="2:20" ht="18.75" x14ac:dyDescent="0.3">
      <c r="B33" s="46" t="s">
        <v>67</v>
      </c>
      <c r="C33" s="63">
        <f t="shared" ref="C33:I33" si="14">C22+C24+C27+C30</f>
        <v>1496.7999999999997</v>
      </c>
      <c r="D33" s="64">
        <f t="shared" si="14"/>
        <v>1923.479245425</v>
      </c>
      <c r="E33" s="64">
        <f t="shared" si="14"/>
        <v>2077.3575850590005</v>
      </c>
      <c r="F33" s="64">
        <f t="shared" si="14"/>
        <v>2234.1200850158402</v>
      </c>
      <c r="G33" s="64">
        <f t="shared" si="14"/>
        <v>2380.4225566397176</v>
      </c>
      <c r="H33" s="64">
        <f t="shared" si="14"/>
        <v>2488.8534534281102</v>
      </c>
      <c r="I33" s="64">
        <f t="shared" si="14"/>
        <v>2602.1763835037441</v>
      </c>
      <c r="J33" s="101"/>
      <c r="K33" s="101"/>
      <c r="L33" s="101"/>
      <c r="R33" s="101"/>
      <c r="S33" s="101"/>
      <c r="T33" s="101"/>
    </row>
    <row r="34" spans="2:20" ht="18.75" x14ac:dyDescent="0.3">
      <c r="B34" s="27"/>
      <c r="C34" s="27"/>
      <c r="D34" s="27"/>
      <c r="E34" s="27"/>
      <c r="F34" s="27"/>
      <c r="G34" s="27"/>
      <c r="H34" s="27"/>
      <c r="I34" s="27"/>
      <c r="J34" s="101"/>
      <c r="K34" s="126" t="s">
        <v>74</v>
      </c>
      <c r="L34" s="127"/>
      <c r="M34" s="101"/>
      <c r="N34" s="101"/>
      <c r="O34" s="101"/>
      <c r="P34" s="101"/>
      <c r="Q34" s="101"/>
      <c r="R34" s="101"/>
      <c r="S34" s="101"/>
      <c r="T34" s="101"/>
    </row>
    <row r="35" spans="2:20" ht="18.75" x14ac:dyDescent="0.3">
      <c r="B35" s="122" t="s">
        <v>68</v>
      </c>
      <c r="C35" s="125">
        <v>2024</v>
      </c>
      <c r="D35" s="124">
        <v>2025</v>
      </c>
      <c r="E35" s="124">
        <v>2026</v>
      </c>
      <c r="F35" s="124">
        <v>2027</v>
      </c>
      <c r="G35" s="124">
        <v>2028</v>
      </c>
      <c r="H35" s="124">
        <v>2029</v>
      </c>
      <c r="I35" s="124">
        <v>2030</v>
      </c>
      <c r="J35" s="101"/>
      <c r="K35" s="26" t="s">
        <v>54</v>
      </c>
      <c r="L35" s="103">
        <f>SUM(D43:I43)</f>
        <v>10315.962049221027</v>
      </c>
      <c r="M35" s="101"/>
      <c r="N35" s="101"/>
      <c r="O35" s="101"/>
      <c r="P35" s="101"/>
      <c r="Q35" s="101"/>
      <c r="R35" s="101"/>
      <c r="S35" s="101"/>
      <c r="T35" s="101"/>
    </row>
    <row r="36" spans="2:20" ht="18.75" x14ac:dyDescent="0.3">
      <c r="B36" s="27"/>
      <c r="C36" s="28"/>
      <c r="D36" s="27"/>
      <c r="E36" s="27"/>
      <c r="F36" s="27"/>
      <c r="G36" s="27"/>
      <c r="H36" s="27"/>
      <c r="I36" s="27"/>
      <c r="J36" s="101"/>
      <c r="K36" s="26" t="s">
        <v>55</v>
      </c>
      <c r="L36" s="53">
        <f>L31*L32</f>
        <v>25621.130520579754</v>
      </c>
      <c r="M36" s="101"/>
      <c r="N36" s="101"/>
      <c r="O36" s="101"/>
      <c r="P36" s="101"/>
      <c r="Q36" s="101"/>
      <c r="R36" s="101"/>
      <c r="S36" s="101"/>
      <c r="T36" s="101"/>
    </row>
    <row r="37" spans="2:20" ht="18.75" x14ac:dyDescent="0.3">
      <c r="B37" s="32" t="s">
        <v>69</v>
      </c>
      <c r="C37" s="65">
        <v>0.5</v>
      </c>
      <c r="D37" s="66">
        <v>0.5</v>
      </c>
      <c r="E37" s="66">
        <v>1.5</v>
      </c>
      <c r="F37" s="66">
        <v>2.5</v>
      </c>
      <c r="G37" s="66">
        <v>3.5</v>
      </c>
      <c r="H37" s="66">
        <v>4.5</v>
      </c>
      <c r="I37" s="66">
        <v>5.5</v>
      </c>
      <c r="J37" s="101"/>
      <c r="K37" s="54" t="s">
        <v>56</v>
      </c>
      <c r="L37" s="55">
        <f>L36/L39</f>
        <v>0.71294388856905211</v>
      </c>
      <c r="M37" s="101"/>
      <c r="N37" s="101"/>
      <c r="O37" s="101"/>
      <c r="P37" s="101"/>
      <c r="Q37" s="101"/>
      <c r="R37" s="101"/>
      <c r="S37" s="101"/>
      <c r="T37" s="101"/>
    </row>
    <row r="38" spans="2:20" ht="18.75" x14ac:dyDescent="0.3">
      <c r="B38" s="27"/>
      <c r="C38" s="28"/>
      <c r="D38" s="27"/>
      <c r="E38" s="27"/>
      <c r="F38" s="27"/>
      <c r="G38" s="27"/>
      <c r="H38" s="27"/>
      <c r="I38" s="27"/>
      <c r="J38" s="101"/>
      <c r="K38" s="26"/>
      <c r="L38" s="53"/>
      <c r="M38" s="101"/>
      <c r="N38" s="101"/>
      <c r="O38" s="101"/>
      <c r="P38" s="101"/>
      <c r="Q38" s="101"/>
      <c r="R38" s="101"/>
      <c r="S38" s="101"/>
      <c r="T38" s="101"/>
    </row>
    <row r="39" spans="2:20" ht="18.75" x14ac:dyDescent="0.3">
      <c r="B39" s="32" t="s">
        <v>41</v>
      </c>
      <c r="C39" s="67">
        <v>9.8000000000000004E-2</v>
      </c>
      <c r="D39" s="68">
        <f t="shared" ref="D39:I39" si="15">C39</f>
        <v>9.8000000000000004E-2</v>
      </c>
      <c r="E39" s="68">
        <f t="shared" si="15"/>
        <v>9.8000000000000004E-2</v>
      </c>
      <c r="F39" s="68">
        <f t="shared" si="15"/>
        <v>9.8000000000000004E-2</v>
      </c>
      <c r="G39" s="68">
        <f t="shared" si="15"/>
        <v>9.8000000000000004E-2</v>
      </c>
      <c r="H39" s="68">
        <f t="shared" si="15"/>
        <v>9.8000000000000004E-2</v>
      </c>
      <c r="I39" s="68">
        <f t="shared" si="15"/>
        <v>9.8000000000000004E-2</v>
      </c>
      <c r="J39" s="101"/>
      <c r="K39" s="26" t="s">
        <v>53</v>
      </c>
      <c r="L39" s="53">
        <f>L35+L36</f>
        <v>35937.092569800778</v>
      </c>
      <c r="M39" s="101"/>
      <c r="N39" s="101"/>
      <c r="O39" s="101"/>
      <c r="P39" s="101"/>
      <c r="Q39" s="101"/>
      <c r="R39" s="101"/>
      <c r="S39" s="101"/>
      <c r="T39" s="101"/>
    </row>
    <row r="40" spans="2:20" ht="18.75" x14ac:dyDescent="0.3">
      <c r="B40" s="27"/>
      <c r="C40" s="28"/>
      <c r="D40" s="27"/>
      <c r="E40" s="27"/>
      <c r="F40" s="27"/>
      <c r="G40" s="27"/>
      <c r="H40" s="27"/>
      <c r="I40" s="27"/>
      <c r="J40" s="101"/>
      <c r="K40" s="26"/>
      <c r="L40" s="57"/>
      <c r="M40" s="101"/>
      <c r="N40" s="101"/>
      <c r="O40" s="101"/>
      <c r="P40" s="101"/>
      <c r="Q40" s="101"/>
      <c r="R40" s="101"/>
      <c r="S40" s="101"/>
      <c r="T40" s="101"/>
    </row>
    <row r="41" spans="2:20" ht="18.75" x14ac:dyDescent="0.3">
      <c r="B41" s="32" t="s">
        <v>70</v>
      </c>
      <c r="C41" s="69">
        <f>(1/((1+$J$38)^C37))</f>
        <v>1</v>
      </c>
      <c r="D41" s="70">
        <f t="shared" ref="D41:I41" si="16">(1/((1+$C$39)^D37))</f>
        <v>0.95433055718978033</v>
      </c>
      <c r="E41" s="70">
        <f t="shared" si="16"/>
        <v>0.86915351292329701</v>
      </c>
      <c r="F41" s="70">
        <f t="shared" si="16"/>
        <v>0.79157879136912301</v>
      </c>
      <c r="G41" s="70">
        <f t="shared" si="16"/>
        <v>0.72092786099191519</v>
      </c>
      <c r="H41" s="70">
        <f t="shared" si="16"/>
        <v>0.65658275135875699</v>
      </c>
      <c r="I41" s="70">
        <f t="shared" si="16"/>
        <v>0.59798064786772032</v>
      </c>
      <c r="J41" s="101"/>
      <c r="K41" s="126" t="s">
        <v>58</v>
      </c>
      <c r="L41" s="128"/>
      <c r="M41" s="101"/>
      <c r="N41" s="101"/>
      <c r="O41" s="101"/>
      <c r="P41" s="101"/>
      <c r="Q41" s="101"/>
      <c r="R41" s="101"/>
      <c r="S41" s="101"/>
      <c r="T41" s="101"/>
    </row>
    <row r="42" spans="2:20" ht="18.75" x14ac:dyDescent="0.3">
      <c r="B42" s="27"/>
      <c r="C42" s="28"/>
      <c r="D42" s="27"/>
      <c r="E42" s="27"/>
      <c r="F42" s="27"/>
      <c r="G42" s="27"/>
      <c r="H42" s="27"/>
      <c r="I42" s="27"/>
      <c r="J42" s="101"/>
      <c r="K42" s="26" t="s">
        <v>53</v>
      </c>
      <c r="L42" s="53">
        <f>L39</f>
        <v>35937.092569800778</v>
      </c>
      <c r="M42" s="101"/>
      <c r="N42" s="101"/>
      <c r="O42" s="101"/>
      <c r="P42" s="101"/>
      <c r="Q42" s="101"/>
      <c r="R42" s="101"/>
      <c r="S42" s="101"/>
      <c r="T42" s="101"/>
    </row>
    <row r="43" spans="2:20" ht="18.75" x14ac:dyDescent="0.3">
      <c r="B43" s="32" t="s">
        <v>71</v>
      </c>
      <c r="C43" s="71">
        <f t="shared" ref="C43:I43" si="17">C33*C41</f>
        <v>1496.7999999999997</v>
      </c>
      <c r="D43" s="72">
        <f t="shared" si="17"/>
        <v>1835.6350200294185</v>
      </c>
      <c r="E43" s="72">
        <f t="shared" si="17"/>
        <v>1805.542642651887</v>
      </c>
      <c r="F43" s="72">
        <f t="shared" si="17"/>
        <v>1768.4820766703212</v>
      </c>
      <c r="G43" s="72">
        <f t="shared" si="17"/>
        <v>1716.1129420151776</v>
      </c>
      <c r="H43" s="72">
        <f t="shared" si="17"/>
        <v>1634.1382481805726</v>
      </c>
      <c r="I43" s="72">
        <f t="shared" si="17"/>
        <v>1556.0511196736504</v>
      </c>
      <c r="J43" s="101"/>
      <c r="K43" s="26" t="s">
        <v>59</v>
      </c>
      <c r="L43" s="58"/>
      <c r="M43" s="101"/>
      <c r="N43" s="101"/>
      <c r="O43" s="101"/>
      <c r="P43" s="101"/>
      <c r="Q43" s="101"/>
      <c r="R43" s="101"/>
      <c r="S43" s="101"/>
      <c r="T43" s="101"/>
    </row>
    <row r="44" spans="2:20" ht="18.75" x14ac:dyDescent="0.3">
      <c r="K44" s="26" t="s">
        <v>60</v>
      </c>
      <c r="L44" s="58">
        <v>0</v>
      </c>
    </row>
    <row r="45" spans="2:20" ht="18.75" x14ac:dyDescent="0.3">
      <c r="K45" s="26" t="s">
        <v>61</v>
      </c>
      <c r="L45" s="53">
        <v>1984.3</v>
      </c>
    </row>
    <row r="46" spans="2:20" ht="18.75" x14ac:dyDescent="0.3">
      <c r="K46" s="26" t="s">
        <v>62</v>
      </c>
      <c r="L46" s="53">
        <f>SUM(L42:L45)</f>
        <v>37921.392569800781</v>
      </c>
    </row>
    <row r="47" spans="2:20" ht="18.75" x14ac:dyDescent="0.3">
      <c r="K47" s="26" t="s">
        <v>63</v>
      </c>
      <c r="L47" s="96">
        <v>121.9</v>
      </c>
    </row>
    <row r="48" spans="2:20" ht="19.5" thickBot="1" x14ac:dyDescent="0.35">
      <c r="K48" s="126" t="s">
        <v>64</v>
      </c>
      <c r="L48" s="393">
        <f>L46/L47</f>
        <v>311.08607522396045</v>
      </c>
    </row>
    <row r="49" spans="2:8" ht="16.5" thickTop="1" thickBot="1" x14ac:dyDescent="0.3"/>
    <row r="50" spans="2:8" ht="19.5" thickBot="1" x14ac:dyDescent="0.35">
      <c r="B50" s="441" t="s">
        <v>65</v>
      </c>
      <c r="C50" s="442"/>
      <c r="D50" s="443" t="s">
        <v>75</v>
      </c>
      <c r="E50" s="443"/>
      <c r="F50" s="443"/>
      <c r="G50" s="443"/>
      <c r="H50" s="444"/>
    </row>
    <row r="51" spans="2:8" ht="18.75" x14ac:dyDescent="0.3">
      <c r="B51" s="107"/>
      <c r="C51" s="108">
        <f>L24</f>
        <v>232.93215866200336</v>
      </c>
      <c r="D51" s="73">
        <f>E51-1</f>
        <v>15.55</v>
      </c>
      <c r="E51" s="73">
        <f>F51-1</f>
        <v>16.55</v>
      </c>
      <c r="F51" s="73">
        <v>17.55</v>
      </c>
      <c r="G51" s="73">
        <f>F51+1</f>
        <v>18.55</v>
      </c>
      <c r="H51" s="109">
        <f>G51+1</f>
        <v>19.55</v>
      </c>
    </row>
    <row r="52" spans="2:8" ht="18.75" x14ac:dyDescent="0.3">
      <c r="B52" s="437" t="s">
        <v>41</v>
      </c>
      <c r="C52" s="110">
        <v>9.8000000000000004E-2</v>
      </c>
      <c r="D52" s="111">
        <f t="dataTable" ref="D52:H56" dt2D="1" dtr="1" r1="L6" r2="C39"/>
        <v>1352.7518737184753</v>
      </c>
      <c r="E52" s="112">
        <v>1433.2565261308746</v>
      </c>
      <c r="F52" s="112">
        <v>1513.7611785432737</v>
      </c>
      <c r="G52" s="112">
        <v>1594.2658309556728</v>
      </c>
      <c r="H52" s="113">
        <v>1674.7704833680716</v>
      </c>
    </row>
    <row r="53" spans="2:8" ht="18.75" x14ac:dyDescent="0.3">
      <c r="B53" s="437"/>
      <c r="C53" s="110">
        <v>0.10299999999999999</v>
      </c>
      <c r="D53" s="114">
        <v>1323.527213817604</v>
      </c>
      <c r="E53" s="115">
        <v>1402.22365944022</v>
      </c>
      <c r="F53" s="115">
        <v>1480.9201050628367</v>
      </c>
      <c r="G53" s="115">
        <v>1559.6165506854527</v>
      </c>
      <c r="H53" s="116">
        <v>1638.3129963080687</v>
      </c>
    </row>
    <row r="54" spans="2:8" ht="18.75" x14ac:dyDescent="0.3">
      <c r="B54" s="437"/>
      <c r="C54" s="110">
        <v>0.108</v>
      </c>
      <c r="D54" s="114">
        <v>1295.081272503043</v>
      </c>
      <c r="E54" s="115">
        <v>1372.0180297953896</v>
      </c>
      <c r="F54" s="117">
        <v>1448.9547870877361</v>
      </c>
      <c r="G54" s="115">
        <v>1525.8915443800825</v>
      </c>
      <c r="H54" s="116">
        <v>1602.8283016724288</v>
      </c>
    </row>
    <row r="55" spans="2:8" ht="18.75" x14ac:dyDescent="0.3">
      <c r="B55" s="437"/>
      <c r="C55" s="110">
        <v>0.113</v>
      </c>
      <c r="D55" s="114">
        <v>1267.3898558982605</v>
      </c>
      <c r="E55" s="115">
        <v>1342.6139312495952</v>
      </c>
      <c r="F55" s="115">
        <v>1417.8380066009299</v>
      </c>
      <c r="G55" s="115">
        <v>1493.0620819522646</v>
      </c>
      <c r="H55" s="116">
        <v>1568.2861573035991</v>
      </c>
    </row>
    <row r="56" spans="2:8" ht="19.5" thickBot="1" x14ac:dyDescent="0.35">
      <c r="B56" s="438"/>
      <c r="C56" s="118">
        <v>0.11799999999999999</v>
      </c>
      <c r="D56" s="119">
        <v>1240.4296266401611</v>
      </c>
      <c r="E56" s="120">
        <v>1313.9865679857817</v>
      </c>
      <c r="F56" s="120">
        <v>1387.543509331402</v>
      </c>
      <c r="G56" s="120">
        <v>1461.1004506770223</v>
      </c>
      <c r="H56" s="121">
        <v>1534.6573920226429</v>
      </c>
    </row>
  </sheetData>
  <mergeCells count="8">
    <mergeCell ref="B52:B56"/>
    <mergeCell ref="B1:V1"/>
    <mergeCell ref="K3:L3"/>
    <mergeCell ref="N3:O3"/>
    <mergeCell ref="R14:S14"/>
    <mergeCell ref="B50:C50"/>
    <mergeCell ref="D50:H50"/>
    <mergeCell ref="K27:L27"/>
  </mergeCells>
  <conditionalFormatting sqref="D52:H5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E5DBD5E28D2428D3238D36AD630D9" ma:contentTypeVersion="10" ma:contentTypeDescription="Create a new document." ma:contentTypeScope="" ma:versionID="2759f8887f64deeff6916e0548011015">
  <xsd:schema xmlns:xsd="http://www.w3.org/2001/XMLSchema" xmlns:xs="http://www.w3.org/2001/XMLSchema" xmlns:p="http://schemas.microsoft.com/office/2006/metadata/properties" xmlns:ns3="a9954d67-d547-400a-8d6d-511ebe1029a6" xmlns:ns4="b19db112-0d3f-4c20-a826-efbe1d2fe655" targetNamespace="http://schemas.microsoft.com/office/2006/metadata/properties" ma:root="true" ma:fieldsID="c2841c76672dbdd76582cfaa1f739b41" ns3:_="" ns4:_="">
    <xsd:import namespace="a9954d67-d547-400a-8d6d-511ebe1029a6"/>
    <xsd:import namespace="b19db112-0d3f-4c20-a826-efbe1d2fe65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4d67-d547-400a-8d6d-511ebe10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db112-0d3f-4c20-a826-efbe1d2fe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9db112-0d3f-4c20-a826-efbe1d2fe655" xsi:nil="true"/>
  </documentManagement>
</p:properties>
</file>

<file path=customXml/itemProps1.xml><?xml version="1.0" encoding="utf-8"?>
<ds:datastoreItem xmlns:ds="http://schemas.openxmlformats.org/officeDocument/2006/customXml" ds:itemID="{4A345431-6699-438E-861B-24B488734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E78817-DA79-4FFC-869F-2206A6EC7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4d67-d547-400a-8d6d-511ebe1029a6"/>
    <ds:schemaRef ds:uri="b19db112-0d3f-4c20-a826-efbe1d2fe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63690-0FA9-4091-B28D-27287CF0E8D6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b19db112-0d3f-4c20-a826-efbe1d2fe655"/>
    <ds:schemaRef ds:uri="a9954d67-d547-400a-8d6d-511ebe1029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Historical Percentages </vt:lpstr>
      <vt:lpstr>Historicals</vt:lpstr>
      <vt:lpstr>BASE SALES Multiple Model</vt:lpstr>
      <vt:lpstr>H-Model Realistic</vt:lpstr>
      <vt:lpstr>Comps Data</vt:lpstr>
      <vt:lpstr>Sort Summary</vt:lpstr>
      <vt:lpstr>Direct Valuation</vt:lpstr>
      <vt:lpstr>Indirect Valuation</vt:lpstr>
      <vt:lpstr>WACC Calculation</vt:lpstr>
      <vt:lpstr>BULL SALES Multiple Model</vt:lpstr>
      <vt:lpstr>'WACC Calculation'!Print_Area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aheuson</dc:creator>
  <cp:keywords/>
  <dc:description/>
  <cp:lastModifiedBy>Michael Hyde</cp:lastModifiedBy>
  <cp:revision/>
  <cp:lastPrinted>2025-04-16T16:49:41Z</cp:lastPrinted>
  <dcterms:created xsi:type="dcterms:W3CDTF">2012-02-05T02:06:06Z</dcterms:created>
  <dcterms:modified xsi:type="dcterms:W3CDTF">2025-06-10T20:18:45Z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0x010100F43E5DBD5E28D2428D3238D36AD630D9</vt:lpwstr>
  </property>
</Properties>
</file>